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19320" windowHeight="11760" firstSheet="1" activeTab="1"/>
  </bookViews>
  <sheets>
    <sheet name="01.01.2016" sheetId="1" state="hidden" r:id="rId1"/>
    <sheet name="25.02.2016" sheetId="2" r:id="rId2"/>
  </sheets>
  <calcPr calcId="124519"/>
</workbook>
</file>

<file path=xl/calcChain.xml><?xml version="1.0" encoding="utf-8"?>
<calcChain xmlns="http://schemas.openxmlformats.org/spreadsheetml/2006/main">
  <c r="N18" i="2"/>
  <c r="M18"/>
  <c r="L18"/>
  <c r="L17" s="1"/>
  <c r="M17"/>
  <c r="N17"/>
  <c r="N12"/>
  <c r="N13"/>
  <c r="N14"/>
  <c r="N15"/>
  <c r="N19"/>
  <c r="N22"/>
  <c r="N23"/>
  <c r="N24"/>
  <c r="N25"/>
  <c r="N26"/>
  <c r="N29"/>
  <c r="N30"/>
  <c r="N31"/>
  <c r="N32"/>
  <c r="N35"/>
  <c r="N36"/>
  <c r="N37"/>
  <c r="N38"/>
  <c r="N39"/>
  <c r="N42"/>
  <c r="N43"/>
  <c r="N44"/>
  <c r="N47"/>
  <c r="N48"/>
  <c r="N49"/>
  <c r="N50"/>
  <c r="N53"/>
  <c r="N54"/>
  <c r="N55"/>
  <c r="N56"/>
  <c r="N59"/>
  <c r="N60"/>
  <c r="N61"/>
  <c r="N62"/>
  <c r="N63"/>
  <c r="N66"/>
  <c r="N67"/>
  <c r="N68"/>
  <c r="N71"/>
  <c r="N72"/>
  <c r="N73"/>
  <c r="N74"/>
  <c r="N77"/>
  <c r="N76" s="1"/>
  <c r="N75" s="1"/>
  <c r="N78"/>
  <c r="N79"/>
  <c r="N80"/>
  <c r="N11"/>
  <c r="N10" s="1"/>
  <c r="M12"/>
  <c r="M13"/>
  <c r="M14"/>
  <c r="M15"/>
  <c r="M19"/>
  <c r="M22"/>
  <c r="M23"/>
  <c r="M24"/>
  <c r="M25"/>
  <c r="M26"/>
  <c r="M29"/>
  <c r="M30"/>
  <c r="M31"/>
  <c r="M32"/>
  <c r="M35"/>
  <c r="M36"/>
  <c r="M37"/>
  <c r="M38"/>
  <c r="M39"/>
  <c r="M42"/>
  <c r="M43"/>
  <c r="M44"/>
  <c r="M47"/>
  <c r="M48"/>
  <c r="M49"/>
  <c r="M50"/>
  <c r="M53"/>
  <c r="M54"/>
  <c r="M55"/>
  <c r="M56"/>
  <c r="M59"/>
  <c r="M60"/>
  <c r="M61"/>
  <c r="M62"/>
  <c r="M63"/>
  <c r="M66"/>
  <c r="M65" s="1"/>
  <c r="M67"/>
  <c r="M68"/>
  <c r="M71"/>
  <c r="M72"/>
  <c r="M73"/>
  <c r="M74"/>
  <c r="M77"/>
  <c r="M76" s="1"/>
  <c r="M75" s="1"/>
  <c r="M78"/>
  <c r="M79"/>
  <c r="M80"/>
  <c r="M11"/>
  <c r="M10" s="1"/>
  <c r="L26"/>
  <c r="L29"/>
  <c r="L30"/>
  <c r="L31"/>
  <c r="L32"/>
  <c r="L35"/>
  <c r="L36"/>
  <c r="L37"/>
  <c r="L38"/>
  <c r="L39"/>
  <c r="L42"/>
  <c r="L43"/>
  <c r="L44"/>
  <c r="L47"/>
  <c r="L48"/>
  <c r="L49"/>
  <c r="L50"/>
  <c r="L53"/>
  <c r="L54"/>
  <c r="L55"/>
  <c r="L56"/>
  <c r="L59"/>
  <c r="L60"/>
  <c r="L61"/>
  <c r="L62"/>
  <c r="L63"/>
  <c r="L66"/>
  <c r="L65" s="1"/>
  <c r="L67"/>
  <c r="L68"/>
  <c r="L71"/>
  <c r="L72"/>
  <c r="L70" s="1"/>
  <c r="L73"/>
  <c r="L74"/>
  <c r="L77"/>
  <c r="L76" s="1"/>
  <c r="L75" s="1"/>
  <c r="L78"/>
  <c r="L79"/>
  <c r="L80"/>
  <c r="L23"/>
  <c r="L24"/>
  <c r="L25"/>
  <c r="L13"/>
  <c r="L14"/>
  <c r="L12"/>
  <c r="K79"/>
  <c r="P79" s="1"/>
  <c r="K73"/>
  <c r="P73" s="1"/>
  <c r="K61"/>
  <c r="P61" s="1"/>
  <c r="K49"/>
  <c r="P49" s="1"/>
  <c r="K38"/>
  <c r="Q38" s="1"/>
  <c r="K31"/>
  <c r="P31" s="1"/>
  <c r="K25"/>
  <c r="P25" s="1"/>
  <c r="H190"/>
  <c r="I190" s="1"/>
  <c r="J190" s="1"/>
  <c r="H189"/>
  <c r="I189" s="1"/>
  <c r="J189" s="1"/>
  <c r="H188"/>
  <c r="I188" s="1"/>
  <c r="F187"/>
  <c r="E187"/>
  <c r="D187"/>
  <c r="O181"/>
  <c r="N181"/>
  <c r="K181"/>
  <c r="G181"/>
  <c r="F181"/>
  <c r="E181"/>
  <c r="Q180"/>
  <c r="P180"/>
  <c r="M180"/>
  <c r="L180" s="1"/>
  <c r="M179"/>
  <c r="H179"/>
  <c r="Q179" s="1"/>
  <c r="Q181" s="1"/>
  <c r="Q177"/>
  <c r="Q178" s="1"/>
  <c r="P177"/>
  <c r="P178" s="1"/>
  <c r="O177"/>
  <c r="O178" s="1"/>
  <c r="N177"/>
  <c r="N178" s="1"/>
  <c r="M177"/>
  <c r="O175"/>
  <c r="N175"/>
  <c r="M175"/>
  <c r="H175"/>
  <c r="P175" s="1"/>
  <c r="M174"/>
  <c r="L174" s="1"/>
  <c r="H174"/>
  <c r="Q174" s="1"/>
  <c r="Q173"/>
  <c r="P173"/>
  <c r="O173"/>
  <c r="N173"/>
  <c r="M173"/>
  <c r="Q172"/>
  <c r="P172"/>
  <c r="O172"/>
  <c r="N172"/>
  <c r="M172"/>
  <c r="Q170"/>
  <c r="P170"/>
  <c r="M170"/>
  <c r="L170" s="1"/>
  <c r="P169"/>
  <c r="Q169" s="1"/>
  <c r="O169"/>
  <c r="N169"/>
  <c r="M169"/>
  <c r="Q168"/>
  <c r="P168"/>
  <c r="O168"/>
  <c r="N168"/>
  <c r="M168"/>
  <c r="O166"/>
  <c r="N166"/>
  <c r="K166"/>
  <c r="G166"/>
  <c r="F166"/>
  <c r="E166"/>
  <c r="Q165"/>
  <c r="P165"/>
  <c r="I165"/>
  <c r="M165" s="1"/>
  <c r="L165" s="1"/>
  <c r="M164"/>
  <c r="H164"/>
  <c r="Q164" s="1"/>
  <c r="Q166" s="1"/>
  <c r="G163"/>
  <c r="F163"/>
  <c r="E163"/>
  <c r="I162"/>
  <c r="H162" s="1"/>
  <c r="Q162" s="1"/>
  <c r="Q161"/>
  <c r="P161"/>
  <c r="M161"/>
  <c r="L161" s="1"/>
  <c r="O160"/>
  <c r="O163" s="1"/>
  <c r="N160"/>
  <c r="N163" s="1"/>
  <c r="I160"/>
  <c r="M160" s="1"/>
  <c r="G159"/>
  <c r="F159"/>
  <c r="E159"/>
  <c r="Q158"/>
  <c r="P158"/>
  <c r="I158"/>
  <c r="M158" s="1"/>
  <c r="L158" s="1"/>
  <c r="O157"/>
  <c r="N157"/>
  <c r="I157"/>
  <c r="M157" s="1"/>
  <c r="Q156"/>
  <c r="P156"/>
  <c r="M156"/>
  <c r="L156" s="1"/>
  <c r="O155"/>
  <c r="N155"/>
  <c r="I155"/>
  <c r="M155" s="1"/>
  <c r="O154"/>
  <c r="N154"/>
  <c r="I154"/>
  <c r="M154" s="1"/>
  <c r="G153"/>
  <c r="F153"/>
  <c r="E153"/>
  <c r="M152"/>
  <c r="L152" s="1"/>
  <c r="H152"/>
  <c r="P152" s="1"/>
  <c r="O151"/>
  <c r="N151"/>
  <c r="I151"/>
  <c r="M151" s="1"/>
  <c r="Q150"/>
  <c r="P150"/>
  <c r="M150"/>
  <c r="L150" s="1"/>
  <c r="O149"/>
  <c r="O153" s="1"/>
  <c r="N149"/>
  <c r="N153" s="1"/>
  <c r="I149"/>
  <c r="M149" s="1"/>
  <c r="O147"/>
  <c r="N147"/>
  <c r="K147"/>
  <c r="G147"/>
  <c r="F147"/>
  <c r="E147"/>
  <c r="Q146"/>
  <c r="P146"/>
  <c r="I146"/>
  <c r="M146" s="1"/>
  <c r="L146" s="1"/>
  <c r="M145"/>
  <c r="L145" s="1"/>
  <c r="H145"/>
  <c r="P145" s="1"/>
  <c r="G144"/>
  <c r="F144"/>
  <c r="E144"/>
  <c r="I143"/>
  <c r="H143" s="1"/>
  <c r="P143" s="1"/>
  <c r="Q142"/>
  <c r="P142"/>
  <c r="M142"/>
  <c r="L142" s="1"/>
  <c r="O141"/>
  <c r="O144" s="1"/>
  <c r="N141"/>
  <c r="N144" s="1"/>
  <c r="I141"/>
  <c r="M141" s="1"/>
  <c r="G140"/>
  <c r="F140"/>
  <c r="E140"/>
  <c r="O139"/>
  <c r="N139"/>
  <c r="I139"/>
  <c r="M139" s="1"/>
  <c r="Q138"/>
  <c r="P138"/>
  <c r="M138"/>
  <c r="L138" s="1"/>
  <c r="O137"/>
  <c r="O140" s="1"/>
  <c r="N137"/>
  <c r="N140" s="1"/>
  <c r="I137"/>
  <c r="M137" s="1"/>
  <c r="G136"/>
  <c r="F136"/>
  <c r="E136"/>
  <c r="O135"/>
  <c r="N135"/>
  <c r="I135"/>
  <c r="M135" s="1"/>
  <c r="Q134"/>
  <c r="P134"/>
  <c r="M134"/>
  <c r="L134" s="1"/>
  <c r="O133"/>
  <c r="O136" s="1"/>
  <c r="N133"/>
  <c r="N136" s="1"/>
  <c r="N148" s="1"/>
  <c r="I133"/>
  <c r="M133" s="1"/>
  <c r="O131"/>
  <c r="N131"/>
  <c r="K131"/>
  <c r="G131"/>
  <c r="F131"/>
  <c r="E131"/>
  <c r="Q130"/>
  <c r="P130"/>
  <c r="I130"/>
  <c r="M130" s="1"/>
  <c r="L130" s="1"/>
  <c r="M129"/>
  <c r="L129" s="1"/>
  <c r="H129"/>
  <c r="Q129" s="1"/>
  <c r="Q131" s="1"/>
  <c r="G128"/>
  <c r="F128"/>
  <c r="E128"/>
  <c r="I127"/>
  <c r="H127" s="1"/>
  <c r="Q127" s="1"/>
  <c r="Q126"/>
  <c r="P126"/>
  <c r="M126"/>
  <c r="L126" s="1"/>
  <c r="O125"/>
  <c r="O128" s="1"/>
  <c r="N125"/>
  <c r="N128" s="1"/>
  <c r="I125"/>
  <c r="M125" s="1"/>
  <c r="G124"/>
  <c r="F124"/>
  <c r="E124"/>
  <c r="O123"/>
  <c r="N123"/>
  <c r="I123"/>
  <c r="M123" s="1"/>
  <c r="Q122"/>
  <c r="P122"/>
  <c r="M122"/>
  <c r="L122" s="1"/>
  <c r="O121"/>
  <c r="N121"/>
  <c r="I121"/>
  <c r="H121" s="1"/>
  <c r="G120"/>
  <c r="F120"/>
  <c r="E120"/>
  <c r="O119"/>
  <c r="N119"/>
  <c r="I119"/>
  <c r="M119" s="1"/>
  <c r="Q118"/>
  <c r="P118"/>
  <c r="M118"/>
  <c r="L118" s="1"/>
  <c r="O117"/>
  <c r="O120" s="1"/>
  <c r="N117"/>
  <c r="N120" s="1"/>
  <c r="I117"/>
  <c r="M117" s="1"/>
  <c r="O115"/>
  <c r="N115"/>
  <c r="K115"/>
  <c r="G115"/>
  <c r="F115"/>
  <c r="E115"/>
  <c r="Q114"/>
  <c r="P114"/>
  <c r="I114"/>
  <c r="M114" s="1"/>
  <c r="L114" s="1"/>
  <c r="M113"/>
  <c r="H113"/>
  <c r="P113" s="1"/>
  <c r="G112"/>
  <c r="F112"/>
  <c r="E112"/>
  <c r="Q111"/>
  <c r="P111"/>
  <c r="Q110"/>
  <c r="P110"/>
  <c r="M110"/>
  <c r="L110" s="1"/>
  <c r="O109"/>
  <c r="O112" s="1"/>
  <c r="N109"/>
  <c r="N112" s="1"/>
  <c r="I109"/>
  <c r="H109" s="1"/>
  <c r="G108"/>
  <c r="F108"/>
  <c r="E108"/>
  <c r="O107"/>
  <c r="N107"/>
  <c r="I107"/>
  <c r="M107" s="1"/>
  <c r="Q106"/>
  <c r="P106"/>
  <c r="M106"/>
  <c r="L106" s="1"/>
  <c r="O105"/>
  <c r="O108" s="1"/>
  <c r="N105"/>
  <c r="N108" s="1"/>
  <c r="I105"/>
  <c r="M105" s="1"/>
  <c r="G104"/>
  <c r="F104"/>
  <c r="E104"/>
  <c r="O103"/>
  <c r="N103"/>
  <c r="I103"/>
  <c r="H103" s="1"/>
  <c r="Q102"/>
  <c r="P102"/>
  <c r="M102"/>
  <c r="L102" s="1"/>
  <c r="O101"/>
  <c r="O104" s="1"/>
  <c r="N101"/>
  <c r="N104" s="1"/>
  <c r="I101"/>
  <c r="M101" s="1"/>
  <c r="O99"/>
  <c r="N99"/>
  <c r="K99"/>
  <c r="G99"/>
  <c r="F99"/>
  <c r="E99"/>
  <c r="Q98"/>
  <c r="P98"/>
  <c r="I98"/>
  <c r="M98" s="1"/>
  <c r="L98" s="1"/>
  <c r="M97"/>
  <c r="L97" s="1"/>
  <c r="H97"/>
  <c r="Q97" s="1"/>
  <c r="G96"/>
  <c r="F96"/>
  <c r="E96"/>
  <c r="Q95"/>
  <c r="P95"/>
  <c r="Q94"/>
  <c r="P94"/>
  <c r="M94"/>
  <c r="L94" s="1"/>
  <c r="O93"/>
  <c r="O96" s="1"/>
  <c r="N93"/>
  <c r="N96" s="1"/>
  <c r="I93"/>
  <c r="M93" s="1"/>
  <c r="G92"/>
  <c r="F92"/>
  <c r="E92"/>
  <c r="Q91"/>
  <c r="P91"/>
  <c r="Q90"/>
  <c r="P90"/>
  <c r="M90"/>
  <c r="L90" s="1"/>
  <c r="O89"/>
  <c r="O92" s="1"/>
  <c r="N89"/>
  <c r="N92" s="1"/>
  <c r="I89"/>
  <c r="H89" s="1"/>
  <c r="G88"/>
  <c r="F88"/>
  <c r="E88"/>
  <c r="O87"/>
  <c r="N87"/>
  <c r="I87"/>
  <c r="M87" s="1"/>
  <c r="Q86"/>
  <c r="P86"/>
  <c r="M86"/>
  <c r="L86" s="1"/>
  <c r="O85"/>
  <c r="O88" s="1"/>
  <c r="N85"/>
  <c r="N88" s="1"/>
  <c r="I85"/>
  <c r="M85" s="1"/>
  <c r="K80"/>
  <c r="Q80" s="1"/>
  <c r="K78"/>
  <c r="Q78" s="1"/>
  <c r="K77"/>
  <c r="P77" s="1"/>
  <c r="K76"/>
  <c r="K75"/>
  <c r="K74"/>
  <c r="Q74" s="1"/>
  <c r="K72"/>
  <c r="Q72" s="1"/>
  <c r="K71"/>
  <c r="P71" s="1"/>
  <c r="K70"/>
  <c r="K69"/>
  <c r="K68"/>
  <c r="Q68" s="1"/>
  <c r="K67"/>
  <c r="P67" s="1"/>
  <c r="K66"/>
  <c r="Q66" s="1"/>
  <c r="K65"/>
  <c r="K64"/>
  <c r="K63"/>
  <c r="P63" s="1"/>
  <c r="K62"/>
  <c r="Q62" s="1"/>
  <c r="K60"/>
  <c r="Q60" s="1"/>
  <c r="K59"/>
  <c r="P59" s="1"/>
  <c r="K58"/>
  <c r="K57"/>
  <c r="K56"/>
  <c r="Q56" s="1"/>
  <c r="K55"/>
  <c r="P55" s="1"/>
  <c r="K54"/>
  <c r="Q54" s="1"/>
  <c r="K53"/>
  <c r="P53" s="1"/>
  <c r="K52"/>
  <c r="K51"/>
  <c r="K50"/>
  <c r="Q50" s="1"/>
  <c r="K48"/>
  <c r="Q48" s="1"/>
  <c r="K47"/>
  <c r="P47" s="1"/>
  <c r="K46"/>
  <c r="K45"/>
  <c r="K44"/>
  <c r="Q44" s="1"/>
  <c r="K43"/>
  <c r="P43" s="1"/>
  <c r="K42"/>
  <c r="Q42" s="1"/>
  <c r="K41"/>
  <c r="K40"/>
  <c r="K39"/>
  <c r="P39" s="1"/>
  <c r="K37"/>
  <c r="P37" s="1"/>
  <c r="K36"/>
  <c r="Q36" s="1"/>
  <c r="K35"/>
  <c r="P35" s="1"/>
  <c r="K34"/>
  <c r="K33"/>
  <c r="K32"/>
  <c r="Q32" s="1"/>
  <c r="K30"/>
  <c r="Q30" s="1"/>
  <c r="K29"/>
  <c r="P29" s="1"/>
  <c r="K28"/>
  <c r="K27"/>
  <c r="K26"/>
  <c r="Q26" s="1"/>
  <c r="K24"/>
  <c r="Q24" s="1"/>
  <c r="K23"/>
  <c r="P23" s="1"/>
  <c r="L22"/>
  <c r="K22"/>
  <c r="Q22" s="1"/>
  <c r="K21"/>
  <c r="K20"/>
  <c r="L19"/>
  <c r="K19"/>
  <c r="P19" s="1"/>
  <c r="K18"/>
  <c r="K17"/>
  <c r="K16"/>
  <c r="K15"/>
  <c r="Q15" s="1"/>
  <c r="K14"/>
  <c r="P14" s="1"/>
  <c r="K13"/>
  <c r="Q13" s="1"/>
  <c r="K12"/>
  <c r="P12" s="1"/>
  <c r="L11"/>
  <c r="K11"/>
  <c r="P11" s="1"/>
  <c r="P10" s="1"/>
  <c r="H205" i="1"/>
  <c r="I205" s="1"/>
  <c r="J205" s="1"/>
  <c r="H204"/>
  <c r="I203"/>
  <c r="J203" s="1"/>
  <c r="H203"/>
  <c r="F202"/>
  <c r="E202"/>
  <c r="D202"/>
  <c r="O196"/>
  <c r="N196"/>
  <c r="K196"/>
  <c r="G196"/>
  <c r="F196"/>
  <c r="E196"/>
  <c r="Q195"/>
  <c r="P195"/>
  <c r="M195"/>
  <c r="L195" s="1"/>
  <c r="M194"/>
  <c r="L194" s="1"/>
  <c r="H194"/>
  <c r="P194" s="1"/>
  <c r="Q192"/>
  <c r="Q193" s="1"/>
  <c r="P192"/>
  <c r="P193" s="1"/>
  <c r="O192"/>
  <c r="O193" s="1"/>
  <c r="N192"/>
  <c r="N193" s="1"/>
  <c r="M192"/>
  <c r="M193" s="1"/>
  <c r="O190"/>
  <c r="N190"/>
  <c r="M190"/>
  <c r="H190"/>
  <c r="Q190" s="1"/>
  <c r="M189"/>
  <c r="L189" s="1"/>
  <c r="H189"/>
  <c r="P189" s="1"/>
  <c r="Q188"/>
  <c r="P188"/>
  <c r="O188"/>
  <c r="N188"/>
  <c r="M188"/>
  <c r="Q187"/>
  <c r="P187"/>
  <c r="O187"/>
  <c r="N187"/>
  <c r="M187"/>
  <c r="L187" s="1"/>
  <c r="Q185"/>
  <c r="P185"/>
  <c r="M185"/>
  <c r="L185" s="1"/>
  <c r="P184"/>
  <c r="Q184" s="1"/>
  <c r="O184"/>
  <c r="N184"/>
  <c r="M184"/>
  <c r="Q183"/>
  <c r="P183"/>
  <c r="O183"/>
  <c r="O186" s="1"/>
  <c r="N183"/>
  <c r="M183"/>
  <c r="M186" s="1"/>
  <c r="O181"/>
  <c r="N181"/>
  <c r="K181"/>
  <c r="G181"/>
  <c r="F181"/>
  <c r="E181"/>
  <c r="Q180"/>
  <c r="P180"/>
  <c r="I180"/>
  <c r="M180" s="1"/>
  <c r="L180" s="1"/>
  <c r="M179"/>
  <c r="H179"/>
  <c r="P179" s="1"/>
  <c r="G178"/>
  <c r="F178"/>
  <c r="E178"/>
  <c r="I177"/>
  <c r="H177" s="1"/>
  <c r="Q176"/>
  <c r="P176"/>
  <c r="M176"/>
  <c r="L176" s="1"/>
  <c r="O175"/>
  <c r="O178" s="1"/>
  <c r="N175"/>
  <c r="N178" s="1"/>
  <c r="I175"/>
  <c r="H175" s="1"/>
  <c r="G174"/>
  <c r="F174"/>
  <c r="E174"/>
  <c r="Q173"/>
  <c r="P173"/>
  <c r="I173"/>
  <c r="M173" s="1"/>
  <c r="L173" s="1"/>
  <c r="O172"/>
  <c r="N172"/>
  <c r="I172"/>
  <c r="H172" s="1"/>
  <c r="Q171"/>
  <c r="P171"/>
  <c r="M171"/>
  <c r="L171" s="1"/>
  <c r="O170"/>
  <c r="N170"/>
  <c r="I170"/>
  <c r="H170" s="1"/>
  <c r="O169"/>
  <c r="N169"/>
  <c r="N174" s="1"/>
  <c r="I169"/>
  <c r="H169" s="1"/>
  <c r="G168"/>
  <c r="F168"/>
  <c r="E168"/>
  <c r="M167"/>
  <c r="L167" s="1"/>
  <c r="H167"/>
  <c r="Q167" s="1"/>
  <c r="O166"/>
  <c r="N166"/>
  <c r="I166"/>
  <c r="H166" s="1"/>
  <c r="Q165"/>
  <c r="P165"/>
  <c r="M165"/>
  <c r="L165" s="1"/>
  <c r="O164"/>
  <c r="O168" s="1"/>
  <c r="N164"/>
  <c r="N168" s="1"/>
  <c r="I164"/>
  <c r="H164" s="1"/>
  <c r="O162"/>
  <c r="N162"/>
  <c r="K162"/>
  <c r="G162"/>
  <c r="F162"/>
  <c r="E162"/>
  <c r="Q161"/>
  <c r="P161"/>
  <c r="I161"/>
  <c r="M161" s="1"/>
  <c r="M160"/>
  <c r="L160" s="1"/>
  <c r="H160"/>
  <c r="Q160" s="1"/>
  <c r="Q162" s="1"/>
  <c r="G159"/>
  <c r="F159"/>
  <c r="E159"/>
  <c r="I158"/>
  <c r="H158" s="1"/>
  <c r="Q158" s="1"/>
  <c r="Q157"/>
  <c r="P157"/>
  <c r="M157"/>
  <c r="L157" s="1"/>
  <c r="O156"/>
  <c r="O159" s="1"/>
  <c r="N156"/>
  <c r="N159" s="1"/>
  <c r="I156"/>
  <c r="M156" s="1"/>
  <c r="G155"/>
  <c r="F155"/>
  <c r="E155"/>
  <c r="O154"/>
  <c r="N154"/>
  <c r="I154"/>
  <c r="H154" s="1"/>
  <c r="Q153"/>
  <c r="P153"/>
  <c r="M153"/>
  <c r="L153" s="1"/>
  <c r="O152"/>
  <c r="O155" s="1"/>
  <c r="N152"/>
  <c r="N155" s="1"/>
  <c r="I152"/>
  <c r="H152" s="1"/>
  <c r="G151"/>
  <c r="F151"/>
  <c r="E151"/>
  <c r="O150"/>
  <c r="N150"/>
  <c r="I150"/>
  <c r="M150" s="1"/>
  <c r="Q149"/>
  <c r="P149"/>
  <c r="M149"/>
  <c r="L149" s="1"/>
  <c r="O148"/>
  <c r="O151" s="1"/>
  <c r="N148"/>
  <c r="N151" s="1"/>
  <c r="I148"/>
  <c r="M148" s="1"/>
  <c r="O146"/>
  <c r="N146"/>
  <c r="K146"/>
  <c r="G146"/>
  <c r="F146"/>
  <c r="E146"/>
  <c r="Q145"/>
  <c r="P145"/>
  <c r="I145"/>
  <c r="M145" s="1"/>
  <c r="L145" s="1"/>
  <c r="M144"/>
  <c r="H144"/>
  <c r="P144" s="1"/>
  <c r="G143"/>
  <c r="F143"/>
  <c r="E143"/>
  <c r="I142"/>
  <c r="H142" s="1"/>
  <c r="P142" s="1"/>
  <c r="Q141"/>
  <c r="P141"/>
  <c r="M141"/>
  <c r="L141" s="1"/>
  <c r="O140"/>
  <c r="O143" s="1"/>
  <c r="N140"/>
  <c r="N143" s="1"/>
  <c r="I140"/>
  <c r="H140" s="1"/>
  <c r="P140" s="1"/>
  <c r="P143" s="1"/>
  <c r="G139"/>
  <c r="F139"/>
  <c r="E139"/>
  <c r="O138"/>
  <c r="N138"/>
  <c r="I138"/>
  <c r="M138" s="1"/>
  <c r="Q137"/>
  <c r="P137"/>
  <c r="M137"/>
  <c r="L137" s="1"/>
  <c r="O136"/>
  <c r="O139" s="1"/>
  <c r="N136"/>
  <c r="I136"/>
  <c r="M136" s="1"/>
  <c r="G135"/>
  <c r="F135"/>
  <c r="E135"/>
  <c r="O134"/>
  <c r="N134"/>
  <c r="I134"/>
  <c r="H134" s="1"/>
  <c r="P134" s="1"/>
  <c r="Q133"/>
  <c r="P133"/>
  <c r="M133"/>
  <c r="L133" s="1"/>
  <c r="O132"/>
  <c r="O135" s="1"/>
  <c r="N132"/>
  <c r="N135" s="1"/>
  <c r="I132"/>
  <c r="H132" s="1"/>
  <c r="P132" s="1"/>
  <c r="O130"/>
  <c r="N130"/>
  <c r="K130"/>
  <c r="G130"/>
  <c r="F130"/>
  <c r="E130"/>
  <c r="Q129"/>
  <c r="P129"/>
  <c r="I129"/>
  <c r="M129" s="1"/>
  <c r="M128"/>
  <c r="L128" s="1"/>
  <c r="H128"/>
  <c r="Q128" s="1"/>
  <c r="Q130" s="1"/>
  <c r="G127"/>
  <c r="F127"/>
  <c r="E127"/>
  <c r="Q126"/>
  <c r="P126"/>
  <c r="Q125"/>
  <c r="P125"/>
  <c r="M125"/>
  <c r="L125" s="1"/>
  <c r="O124"/>
  <c r="O127" s="1"/>
  <c r="N124"/>
  <c r="N127" s="1"/>
  <c r="I124"/>
  <c r="M124" s="1"/>
  <c r="G123"/>
  <c r="F123"/>
  <c r="E123"/>
  <c r="O122"/>
  <c r="N122"/>
  <c r="I122"/>
  <c r="H122" s="1"/>
  <c r="P122" s="1"/>
  <c r="Q121"/>
  <c r="P121"/>
  <c r="M121"/>
  <c r="L121" s="1"/>
  <c r="O120"/>
  <c r="N120"/>
  <c r="I120"/>
  <c r="H120" s="1"/>
  <c r="P120" s="1"/>
  <c r="P123" s="1"/>
  <c r="G119"/>
  <c r="F119"/>
  <c r="E119"/>
  <c r="O118"/>
  <c r="N118"/>
  <c r="I118"/>
  <c r="M118" s="1"/>
  <c r="Q117"/>
  <c r="P117"/>
  <c r="M117"/>
  <c r="L117" s="1"/>
  <c r="O116"/>
  <c r="O119" s="1"/>
  <c r="N116"/>
  <c r="I116"/>
  <c r="M116" s="1"/>
  <c r="O114"/>
  <c r="N114"/>
  <c r="K114"/>
  <c r="G114"/>
  <c r="F114"/>
  <c r="E114"/>
  <c r="Q113"/>
  <c r="P113"/>
  <c r="I113"/>
  <c r="M113" s="1"/>
  <c r="L113" s="1"/>
  <c r="M112"/>
  <c r="H112"/>
  <c r="P112" s="1"/>
  <c r="G111"/>
  <c r="F111"/>
  <c r="E111"/>
  <c r="Q110"/>
  <c r="P110"/>
  <c r="Q109"/>
  <c r="P109"/>
  <c r="M109"/>
  <c r="L109" s="1"/>
  <c r="O108"/>
  <c r="O111" s="1"/>
  <c r="N108"/>
  <c r="N111" s="1"/>
  <c r="I108"/>
  <c r="H108" s="1"/>
  <c r="P108" s="1"/>
  <c r="P111" s="1"/>
  <c r="G107"/>
  <c r="F107"/>
  <c r="E107"/>
  <c r="Q106"/>
  <c r="P106"/>
  <c r="Q105"/>
  <c r="P105"/>
  <c r="M105"/>
  <c r="L105" s="1"/>
  <c r="O104"/>
  <c r="O107" s="1"/>
  <c r="N104"/>
  <c r="N107" s="1"/>
  <c r="I104"/>
  <c r="M104" s="1"/>
  <c r="G103"/>
  <c r="F103"/>
  <c r="E103"/>
  <c r="O102"/>
  <c r="N102"/>
  <c r="I102"/>
  <c r="H102" s="1"/>
  <c r="P102" s="1"/>
  <c r="Q101"/>
  <c r="P101"/>
  <c r="M101"/>
  <c r="L101" s="1"/>
  <c r="O100"/>
  <c r="O103" s="1"/>
  <c r="N100"/>
  <c r="N103" s="1"/>
  <c r="I100"/>
  <c r="H100" s="1"/>
  <c r="P100" s="1"/>
  <c r="P103" s="1"/>
  <c r="H104" l="1"/>
  <c r="Q104" s="1"/>
  <c r="Q107" s="1"/>
  <c r="P114"/>
  <c r="H118"/>
  <c r="Q118" s="1"/>
  <c r="N123"/>
  <c r="M122"/>
  <c r="L122" s="1"/>
  <c r="M127"/>
  <c r="L136"/>
  <c r="P146"/>
  <c r="M70" i="2"/>
  <c r="M69" s="1"/>
  <c r="L69"/>
  <c r="N70"/>
  <c r="N69" s="1"/>
  <c r="L64"/>
  <c r="M64"/>
  <c r="O14"/>
  <c r="O25"/>
  <c r="O23"/>
  <c r="O79"/>
  <c r="O77"/>
  <c r="O73"/>
  <c r="O71"/>
  <c r="O67"/>
  <c r="O63"/>
  <c r="O61"/>
  <c r="O59"/>
  <c r="O55"/>
  <c r="O53"/>
  <c r="O49"/>
  <c r="O47"/>
  <c r="O43"/>
  <c r="O39"/>
  <c r="O37"/>
  <c r="O35"/>
  <c r="O31"/>
  <c r="O29"/>
  <c r="N65"/>
  <c r="N64" s="1"/>
  <c r="M58"/>
  <c r="M57" s="1"/>
  <c r="N58"/>
  <c r="N57" s="1"/>
  <c r="M52"/>
  <c r="M51" s="1"/>
  <c r="O19"/>
  <c r="O22"/>
  <c r="N52"/>
  <c r="N51" s="1"/>
  <c r="L58"/>
  <c r="L57" s="1"/>
  <c r="M46"/>
  <c r="M45" s="1"/>
  <c r="O11"/>
  <c r="L99"/>
  <c r="O116"/>
  <c r="L119"/>
  <c r="O124"/>
  <c r="O132" s="1"/>
  <c r="H123"/>
  <c r="P123" s="1"/>
  <c r="L131"/>
  <c r="H133"/>
  <c r="P133" s="1"/>
  <c r="H135"/>
  <c r="P135" s="1"/>
  <c r="L147"/>
  <c r="H149"/>
  <c r="Q149" s="1"/>
  <c r="H151"/>
  <c r="Q151" s="1"/>
  <c r="N159"/>
  <c r="N167" s="1"/>
  <c r="L155"/>
  <c r="L157"/>
  <c r="M166"/>
  <c r="L172"/>
  <c r="O12"/>
  <c r="O13"/>
  <c r="O24"/>
  <c r="O21" s="1"/>
  <c r="O80"/>
  <c r="O78"/>
  <c r="O74"/>
  <c r="O72"/>
  <c r="O68"/>
  <c r="O66"/>
  <c r="O65" s="1"/>
  <c r="O62"/>
  <c r="O60"/>
  <c r="O56"/>
  <c r="O54"/>
  <c r="O52" s="1"/>
  <c r="O50"/>
  <c r="O48"/>
  <c r="O46" s="1"/>
  <c r="O44"/>
  <c r="O42"/>
  <c r="O41" s="1"/>
  <c r="O38"/>
  <c r="O36"/>
  <c r="O32"/>
  <c r="O30"/>
  <c r="O28" s="1"/>
  <c r="O27" s="1"/>
  <c r="O26"/>
  <c r="M41"/>
  <c r="M40" s="1"/>
  <c r="O15"/>
  <c r="N9"/>
  <c r="N46"/>
  <c r="N45" s="1"/>
  <c r="L52"/>
  <c r="L51" s="1"/>
  <c r="N41"/>
  <c r="N40" s="1"/>
  <c r="O40"/>
  <c r="L46"/>
  <c r="L45" s="1"/>
  <c r="M34"/>
  <c r="M33" s="1"/>
  <c r="N34"/>
  <c r="N33" s="1"/>
  <c r="L41"/>
  <c r="L40" s="1"/>
  <c r="M28"/>
  <c r="M27" s="1"/>
  <c r="N28"/>
  <c r="N27" s="1"/>
  <c r="L34"/>
  <c r="L33" s="1"/>
  <c r="M9"/>
  <c r="N21"/>
  <c r="N20" s="1"/>
  <c r="N16"/>
  <c r="M21"/>
  <c r="M20" s="1"/>
  <c r="L28"/>
  <c r="L27" s="1"/>
  <c r="H85"/>
  <c r="Q85" s="1"/>
  <c r="H87"/>
  <c r="Q87" s="1"/>
  <c r="H93"/>
  <c r="Q93" s="1"/>
  <c r="Q96" s="1"/>
  <c r="N176"/>
  <c r="L173"/>
  <c r="L175"/>
  <c r="M16"/>
  <c r="L21"/>
  <c r="L20" s="1"/>
  <c r="H105"/>
  <c r="Q105" s="1"/>
  <c r="H107"/>
  <c r="Q107" s="1"/>
  <c r="P115"/>
  <c r="P147"/>
  <c r="O159"/>
  <c r="O167" s="1"/>
  <c r="N171"/>
  <c r="N182" s="1"/>
  <c r="P171"/>
  <c r="L169"/>
  <c r="M181"/>
  <c r="L87"/>
  <c r="Q99"/>
  <c r="H101"/>
  <c r="P101" s="1"/>
  <c r="N116"/>
  <c r="L107"/>
  <c r="H117"/>
  <c r="Q117" s="1"/>
  <c r="H119"/>
  <c r="Q119" s="1"/>
  <c r="N124"/>
  <c r="N132" s="1"/>
  <c r="L123"/>
  <c r="H125"/>
  <c r="Q125" s="1"/>
  <c r="Q128" s="1"/>
  <c r="O148"/>
  <c r="L135"/>
  <c r="L139"/>
  <c r="H141"/>
  <c r="P141" s="1"/>
  <c r="P144" s="1"/>
  <c r="L151"/>
  <c r="H154"/>
  <c r="Q154" s="1"/>
  <c r="H155"/>
  <c r="Q155" s="1"/>
  <c r="H157"/>
  <c r="Q157" s="1"/>
  <c r="H160"/>
  <c r="Q160" s="1"/>
  <c r="Q163" s="1"/>
  <c r="L164"/>
  <c r="L166" s="1"/>
  <c r="P164"/>
  <c r="P166" s="1"/>
  <c r="L168"/>
  <c r="O171"/>
  <c r="Q171"/>
  <c r="M176"/>
  <c r="O176"/>
  <c r="L177"/>
  <c r="L178" s="1"/>
  <c r="L179"/>
  <c r="L181" s="1"/>
  <c r="P80"/>
  <c r="P78"/>
  <c r="P76" s="1"/>
  <c r="P75" s="1"/>
  <c r="P74"/>
  <c r="P72"/>
  <c r="P70" s="1"/>
  <c r="P68"/>
  <c r="P66"/>
  <c r="P65" s="1"/>
  <c r="P62"/>
  <c r="P60"/>
  <c r="P56"/>
  <c r="P54"/>
  <c r="P52" s="1"/>
  <c r="P50"/>
  <c r="P48"/>
  <c r="P46" s="1"/>
  <c r="P44"/>
  <c r="P42"/>
  <c r="P41" s="1"/>
  <c r="P38"/>
  <c r="P36"/>
  <c r="P32"/>
  <c r="P30"/>
  <c r="P28" s="1"/>
  <c r="P26"/>
  <c r="P24"/>
  <c r="P22"/>
  <c r="P15"/>
  <c r="P9" s="1"/>
  <c r="P13"/>
  <c r="Q11"/>
  <c r="Q79"/>
  <c r="Q77"/>
  <c r="Q76" s="1"/>
  <c r="Q75" s="1"/>
  <c r="Q73"/>
  <c r="Q71"/>
  <c r="Q67"/>
  <c r="Q65" s="1"/>
  <c r="Q64" s="1"/>
  <c r="Q63"/>
  <c r="Q61"/>
  <c r="Q59"/>
  <c r="Q55"/>
  <c r="Q53"/>
  <c r="Q49"/>
  <c r="Q47"/>
  <c r="Q43"/>
  <c r="Q41" s="1"/>
  <c r="Q40" s="1"/>
  <c r="Q39"/>
  <c r="Q37"/>
  <c r="Q35"/>
  <c r="Q31"/>
  <c r="Q29"/>
  <c r="Q25"/>
  <c r="Q23"/>
  <c r="Q19"/>
  <c r="Q14"/>
  <c r="Q12"/>
  <c r="N100"/>
  <c r="O18"/>
  <c r="M88"/>
  <c r="L85"/>
  <c r="L88" s="1"/>
  <c r="M96"/>
  <c r="L93"/>
  <c r="L96" s="1"/>
  <c r="M108"/>
  <c r="L105"/>
  <c r="L108" s="1"/>
  <c r="P109"/>
  <c r="P112" s="1"/>
  <c r="Q109"/>
  <c r="Q112" s="1"/>
  <c r="M136"/>
  <c r="L133"/>
  <c r="L136" s="1"/>
  <c r="M140"/>
  <c r="L137"/>
  <c r="L140" s="1"/>
  <c r="M153"/>
  <c r="L149"/>
  <c r="L153" s="1"/>
  <c r="O100"/>
  <c r="M99"/>
  <c r="M115"/>
  <c r="P89"/>
  <c r="P92" s="1"/>
  <c r="Q89"/>
  <c r="Q92" s="1"/>
  <c r="L101"/>
  <c r="P103"/>
  <c r="Q103"/>
  <c r="M120"/>
  <c r="L117"/>
  <c r="L120" s="1"/>
  <c r="P121"/>
  <c r="P124" s="1"/>
  <c r="Q121"/>
  <c r="M128"/>
  <c r="L125"/>
  <c r="L128" s="1"/>
  <c r="M144"/>
  <c r="L141"/>
  <c r="L144" s="1"/>
  <c r="M159"/>
  <c r="L154"/>
  <c r="L159" s="1"/>
  <c r="M163"/>
  <c r="L160"/>
  <c r="L163" s="1"/>
  <c r="J188"/>
  <c r="J187" s="1"/>
  <c r="I187"/>
  <c r="L10"/>
  <c r="L16"/>
  <c r="M131"/>
  <c r="M147"/>
  <c r="P85"/>
  <c r="P87"/>
  <c r="M89"/>
  <c r="P93"/>
  <c r="P96" s="1"/>
  <c r="P97"/>
  <c r="P99" s="1"/>
  <c r="Q101"/>
  <c r="Q104" s="1"/>
  <c r="M103"/>
  <c r="L103" s="1"/>
  <c r="P105"/>
  <c r="M109"/>
  <c r="Q113"/>
  <c r="Q115" s="1"/>
  <c r="P117"/>
  <c r="M121"/>
  <c r="Q123"/>
  <c r="P125"/>
  <c r="P127"/>
  <c r="P129"/>
  <c r="P131" s="1"/>
  <c r="Q133"/>
  <c r="Q135"/>
  <c r="H137"/>
  <c r="H139"/>
  <c r="Q141"/>
  <c r="Q143"/>
  <c r="Q145"/>
  <c r="Q147" s="1"/>
  <c r="P149"/>
  <c r="P151"/>
  <c r="Q152"/>
  <c r="Q153" s="1"/>
  <c r="P154"/>
  <c r="P155"/>
  <c r="P157"/>
  <c r="P160"/>
  <c r="P162"/>
  <c r="M171"/>
  <c r="P174"/>
  <c r="P176" s="1"/>
  <c r="Q175"/>
  <c r="Q176" s="1"/>
  <c r="Q182" s="1"/>
  <c r="M178"/>
  <c r="P179"/>
  <c r="P181" s="1"/>
  <c r="L113"/>
  <c r="L115" s="1"/>
  <c r="H187"/>
  <c r="M132" i="1"/>
  <c r="H136"/>
  <c r="Q136" s="1"/>
  <c r="L138"/>
  <c r="N191"/>
  <c r="L188"/>
  <c r="L190"/>
  <c r="H202"/>
  <c r="I204"/>
  <c r="J204" s="1"/>
  <c r="J202" s="1"/>
  <c r="L116"/>
  <c r="L150"/>
  <c r="H156"/>
  <c r="Q156" s="1"/>
  <c r="Q159" s="1"/>
  <c r="P181"/>
  <c r="N186"/>
  <c r="L186" s="1"/>
  <c r="L184"/>
  <c r="L192"/>
  <c r="L193" s="1"/>
  <c r="P196"/>
  <c r="N115"/>
  <c r="L104"/>
  <c r="L107" s="1"/>
  <c r="M108"/>
  <c r="M111" s="1"/>
  <c r="H116"/>
  <c r="N119"/>
  <c r="N131" s="1"/>
  <c r="L118"/>
  <c r="M120"/>
  <c r="M123" s="1"/>
  <c r="O123"/>
  <c r="O131" s="1"/>
  <c r="H124"/>
  <c r="Q124" s="1"/>
  <c r="Q127" s="1"/>
  <c r="L124"/>
  <c r="L127" s="1"/>
  <c r="P128"/>
  <c r="P130" s="1"/>
  <c r="P135"/>
  <c r="M134"/>
  <c r="L134" s="1"/>
  <c r="M139"/>
  <c r="N139"/>
  <c r="N147" s="1"/>
  <c r="H138"/>
  <c r="Q138" s="1"/>
  <c r="H148"/>
  <c r="Q148" s="1"/>
  <c r="N163"/>
  <c r="H150"/>
  <c r="Q150" s="1"/>
  <c r="P160"/>
  <c r="P162" s="1"/>
  <c r="P167"/>
  <c r="O174"/>
  <c r="O182" s="1"/>
  <c r="M181"/>
  <c r="L183"/>
  <c r="N197"/>
  <c r="P186"/>
  <c r="M191"/>
  <c r="O191"/>
  <c r="O197" s="1"/>
  <c r="P190"/>
  <c r="P191" s="1"/>
  <c r="L196"/>
  <c r="P104"/>
  <c r="P107" s="1"/>
  <c r="P115" s="1"/>
  <c r="P118"/>
  <c r="O147"/>
  <c r="L139"/>
  <c r="N182"/>
  <c r="L129"/>
  <c r="L130" s="1"/>
  <c r="M130"/>
  <c r="L108"/>
  <c r="L111" s="1"/>
  <c r="M114"/>
  <c r="L112"/>
  <c r="L114" s="1"/>
  <c r="L132"/>
  <c r="L135" s="1"/>
  <c r="P152"/>
  <c r="Q152"/>
  <c r="P154"/>
  <c r="Q154"/>
  <c r="M159"/>
  <c r="L156"/>
  <c r="L159" s="1"/>
  <c r="P164"/>
  <c r="Q164"/>
  <c r="P166"/>
  <c r="Q166"/>
  <c r="P169"/>
  <c r="Q169"/>
  <c r="P175"/>
  <c r="Q175"/>
  <c r="P177"/>
  <c r="Q177"/>
  <c r="M146"/>
  <c r="L144"/>
  <c r="L146" s="1"/>
  <c r="M151"/>
  <c r="L148"/>
  <c r="L151" s="1"/>
  <c r="L161"/>
  <c r="L162" s="1"/>
  <c r="M162"/>
  <c r="P170"/>
  <c r="Q170"/>
  <c r="P172"/>
  <c r="Q172"/>
  <c r="Q102"/>
  <c r="M107"/>
  <c r="M119"/>
  <c r="Q140"/>
  <c r="Q144"/>
  <c r="Q146" s="1"/>
  <c r="M100"/>
  <c r="O115"/>
  <c r="M102"/>
  <c r="L102" s="1"/>
  <c r="Q108"/>
  <c r="Q111" s="1"/>
  <c r="Q112"/>
  <c r="Q114" s="1"/>
  <c r="Q120"/>
  <c r="Q123" s="1"/>
  <c r="Q122"/>
  <c r="P124"/>
  <c r="P127" s="1"/>
  <c r="Q132"/>
  <c r="Q134"/>
  <c r="P138"/>
  <c r="M140"/>
  <c r="Q142"/>
  <c r="O163"/>
  <c r="Q186"/>
  <c r="Q100"/>
  <c r="P148"/>
  <c r="M152"/>
  <c r="M154"/>
  <c r="L154" s="1"/>
  <c r="P158"/>
  <c r="M164"/>
  <c r="M166"/>
  <c r="L166" s="1"/>
  <c r="M169"/>
  <c r="M170"/>
  <c r="L170" s="1"/>
  <c r="M172"/>
  <c r="L172" s="1"/>
  <c r="M175"/>
  <c r="Q179"/>
  <c r="Q181" s="1"/>
  <c r="Q189"/>
  <c r="Q191" s="1"/>
  <c r="Q194"/>
  <c r="Q196" s="1"/>
  <c r="M196"/>
  <c r="M197" s="1"/>
  <c r="L179"/>
  <c r="L181" s="1"/>
  <c r="P69" i="2" l="1"/>
  <c r="O76"/>
  <c r="O75" s="1"/>
  <c r="L119" i="1"/>
  <c r="I202"/>
  <c r="Q139"/>
  <c r="P51" i="2"/>
  <c r="P58"/>
  <c r="P57" s="1"/>
  <c r="P64"/>
  <c r="O34"/>
  <c r="O33" s="1"/>
  <c r="O58"/>
  <c r="O57" s="1"/>
  <c r="O64"/>
  <c r="O70"/>
  <c r="O69" s="1"/>
  <c r="Q70"/>
  <c r="Q69" s="1"/>
  <c r="P136"/>
  <c r="O45"/>
  <c r="O51"/>
  <c r="O10"/>
  <c r="O9" s="1"/>
  <c r="Q52"/>
  <c r="Q51" s="1"/>
  <c r="Q58"/>
  <c r="Q57" s="1"/>
  <c r="O20"/>
  <c r="P27"/>
  <c r="P34"/>
  <c r="P33" s="1"/>
  <c r="P40"/>
  <c r="P45"/>
  <c r="Q46"/>
  <c r="Q45" s="1"/>
  <c r="Q34"/>
  <c r="Q33" s="1"/>
  <c r="P119"/>
  <c r="P120" s="1"/>
  <c r="P107"/>
  <c r="P108" s="1"/>
  <c r="P104"/>
  <c r="Q21"/>
  <c r="Q20" s="1"/>
  <c r="Q28"/>
  <c r="Q27" s="1"/>
  <c r="P21"/>
  <c r="P20" s="1"/>
  <c r="Q108"/>
  <c r="Q116" s="1"/>
  <c r="Q88"/>
  <c r="Q100" s="1"/>
  <c r="O17"/>
  <c r="O16" s="1"/>
  <c r="P18"/>
  <c r="P163"/>
  <c r="P153"/>
  <c r="P128"/>
  <c r="Q10"/>
  <c r="Q9" s="1"/>
  <c r="P182"/>
  <c r="Q124"/>
  <c r="L104"/>
  <c r="L176"/>
  <c r="O182"/>
  <c r="Q159"/>
  <c r="Q167" s="1"/>
  <c r="Q120"/>
  <c r="M182"/>
  <c r="L171"/>
  <c r="Q139"/>
  <c r="P139"/>
  <c r="M124"/>
  <c r="M132" s="1"/>
  <c r="L132" s="1"/>
  <c r="L121"/>
  <c r="L124" s="1"/>
  <c r="M112"/>
  <c r="L109"/>
  <c r="L112" s="1"/>
  <c r="Q137"/>
  <c r="Q140" s="1"/>
  <c r="P137"/>
  <c r="P140" s="1"/>
  <c r="P148" s="1"/>
  <c r="M92"/>
  <c r="M100" s="1"/>
  <c r="L100" s="1"/>
  <c r="L89"/>
  <c r="L92" s="1"/>
  <c r="L9"/>
  <c r="L167"/>
  <c r="P159"/>
  <c r="Q144"/>
  <c r="Q136"/>
  <c r="P88"/>
  <c r="P100" s="1"/>
  <c r="M104"/>
  <c r="M167"/>
  <c r="M148"/>
  <c r="L148" s="1"/>
  <c r="P156" i="1"/>
  <c r="P136"/>
  <c r="L120"/>
  <c r="L123" s="1"/>
  <c r="P197"/>
  <c r="P159"/>
  <c r="P139"/>
  <c r="P147" s="1"/>
  <c r="Q135"/>
  <c r="Q143"/>
  <c r="Q116"/>
  <c r="Q119" s="1"/>
  <c r="P116"/>
  <c r="P119" s="1"/>
  <c r="P131" s="1"/>
  <c r="Q131"/>
  <c r="P150"/>
  <c r="P151" s="1"/>
  <c r="M135"/>
  <c r="L191"/>
  <c r="L197" s="1"/>
  <c r="Q151"/>
  <c r="L169"/>
  <c r="L174" s="1"/>
  <c r="M174"/>
  <c r="M155"/>
  <c r="M163" s="1"/>
  <c r="L163" s="1"/>
  <c r="L152"/>
  <c r="L155" s="1"/>
  <c r="M178"/>
  <c r="L175"/>
  <c r="L178" s="1"/>
  <c r="M103"/>
  <c r="M115" s="1"/>
  <c r="L115" s="1"/>
  <c r="L100"/>
  <c r="L103" s="1"/>
  <c r="Q103"/>
  <c r="Q115" s="1"/>
  <c r="M131"/>
  <c r="L131" s="1"/>
  <c r="Q178"/>
  <c r="Q174"/>
  <c r="Q168"/>
  <c r="Q155"/>
  <c r="Q163" s="1"/>
  <c r="L164"/>
  <c r="L168" s="1"/>
  <c r="M168"/>
  <c r="M143"/>
  <c r="M147" s="1"/>
  <c r="L147" s="1"/>
  <c r="L140"/>
  <c r="L143" s="1"/>
  <c r="Q197"/>
  <c r="P178"/>
  <c r="P174"/>
  <c r="P168"/>
  <c r="P155"/>
  <c r="P116" i="2" l="1"/>
  <c r="P167"/>
  <c r="P132"/>
  <c r="L182"/>
  <c r="M116"/>
  <c r="L116" s="1"/>
  <c r="Q18"/>
  <c r="Q17" s="1"/>
  <c r="Q16" s="1"/>
  <c r="P17"/>
  <c r="P16" s="1"/>
  <c r="Q132"/>
  <c r="Q148"/>
  <c r="Q147" i="1"/>
  <c r="P163"/>
  <c r="P182"/>
  <c r="L182"/>
  <c r="Q182"/>
  <c r="M182"/>
  <c r="L26" l="1"/>
  <c r="M41"/>
  <c r="M40"/>
  <c r="M39"/>
  <c r="M38" s="1"/>
  <c r="M33"/>
  <c r="M32"/>
  <c r="M31" s="1"/>
  <c r="M26"/>
  <c r="M25"/>
  <c r="M24"/>
  <c r="M23"/>
  <c r="M18"/>
  <c r="N92"/>
  <c r="N91"/>
  <c r="M92"/>
  <c r="M91"/>
  <c r="L92"/>
  <c r="L91"/>
  <c r="N85"/>
  <c r="N86"/>
  <c r="N87"/>
  <c r="N84"/>
  <c r="M85"/>
  <c r="M84"/>
  <c r="L85"/>
  <c r="L84"/>
  <c r="N83"/>
  <c r="N78"/>
  <c r="N77"/>
  <c r="M78"/>
  <c r="M77"/>
  <c r="L78"/>
  <c r="L79"/>
  <c r="L80"/>
  <c r="L81"/>
  <c r="L77"/>
  <c r="N76"/>
  <c r="N70"/>
  <c r="N71"/>
  <c r="N69"/>
  <c r="M70"/>
  <c r="M71"/>
  <c r="M69"/>
  <c r="L70"/>
  <c r="L71"/>
  <c r="L69"/>
  <c r="M68"/>
  <c r="N62"/>
  <c r="N63"/>
  <c r="N61"/>
  <c r="M62"/>
  <c r="M63"/>
  <c r="M61"/>
  <c r="L62"/>
  <c r="L63"/>
  <c r="L61"/>
  <c r="N55"/>
  <c r="N54"/>
  <c r="M55"/>
  <c r="M54"/>
  <c r="L55"/>
  <c r="L54"/>
  <c r="N53"/>
  <c r="N48"/>
  <c r="M48"/>
  <c r="L48"/>
  <c r="N47"/>
  <c r="N46" s="1"/>
  <c r="M47"/>
  <c r="L47"/>
  <c r="N44"/>
  <c r="N40"/>
  <c r="N41"/>
  <c r="N39"/>
  <c r="L40"/>
  <c r="L41"/>
  <c r="L39"/>
  <c r="N36"/>
  <c r="N33"/>
  <c r="N32"/>
  <c r="L32"/>
  <c r="N25"/>
  <c r="N26"/>
  <c r="L25"/>
  <c r="L24"/>
  <c r="M53" l="1"/>
  <c r="N38"/>
  <c r="N37" s="1"/>
  <c r="M60"/>
  <c r="N90"/>
  <c r="M46"/>
  <c r="N68"/>
  <c r="M76"/>
  <c r="M90"/>
  <c r="M83"/>
  <c r="N60"/>
  <c r="N31"/>
  <c r="N30" s="1"/>
  <c r="N24" l="1"/>
  <c r="N23" s="1"/>
  <c r="O25"/>
  <c r="P25" s="1"/>
  <c r="Q25" s="1"/>
  <c r="M17"/>
  <c r="L90"/>
  <c r="L83"/>
  <c r="L76"/>
  <c r="L75" s="1"/>
  <c r="N18"/>
  <c r="N17" s="1"/>
  <c r="O77"/>
  <c r="P77" s="1"/>
  <c r="Q77" s="1"/>
  <c r="O78"/>
  <c r="P78" s="1"/>
  <c r="Q78" s="1"/>
  <c r="O83"/>
  <c r="P83" s="1"/>
  <c r="Q83" s="1"/>
  <c r="O84"/>
  <c r="P84" s="1"/>
  <c r="Q84" s="1"/>
  <c r="O85"/>
  <c r="P85" s="1"/>
  <c r="Q85" s="1"/>
  <c r="O90"/>
  <c r="P90" s="1"/>
  <c r="Q90" s="1"/>
  <c r="O91"/>
  <c r="P91" s="1"/>
  <c r="Q91" s="1"/>
  <c r="O92"/>
  <c r="P92" s="1"/>
  <c r="Q92" s="1"/>
  <c r="N12"/>
  <c r="N13"/>
  <c r="N14"/>
  <c r="N15"/>
  <c r="N19"/>
  <c r="N20"/>
  <c r="N21"/>
  <c r="N27"/>
  <c r="N28"/>
  <c r="N29"/>
  <c r="N34"/>
  <c r="N35"/>
  <c r="N42"/>
  <c r="N43"/>
  <c r="N49"/>
  <c r="N50"/>
  <c r="N51"/>
  <c r="N45" s="1"/>
  <c r="N56"/>
  <c r="N57"/>
  <c r="N58"/>
  <c r="N52" s="1"/>
  <c r="N64"/>
  <c r="N65"/>
  <c r="N66"/>
  <c r="N59" s="1"/>
  <c r="N72"/>
  <c r="N73"/>
  <c r="N74"/>
  <c r="N67" s="1"/>
  <c r="N79"/>
  <c r="N80"/>
  <c r="N81"/>
  <c r="N75" s="1"/>
  <c r="N88"/>
  <c r="N82" s="1"/>
  <c r="N93"/>
  <c r="N94"/>
  <c r="N95"/>
  <c r="N89" s="1"/>
  <c r="N11"/>
  <c r="M12"/>
  <c r="M13"/>
  <c r="M14"/>
  <c r="M15"/>
  <c r="M19"/>
  <c r="M20"/>
  <c r="M21"/>
  <c r="M27"/>
  <c r="M28"/>
  <c r="M29"/>
  <c r="M34"/>
  <c r="M35"/>
  <c r="M36"/>
  <c r="M30" s="1"/>
  <c r="M42"/>
  <c r="M43"/>
  <c r="M44"/>
  <c r="M37" s="1"/>
  <c r="M49"/>
  <c r="M50"/>
  <c r="M51"/>
  <c r="M45" s="1"/>
  <c r="M56"/>
  <c r="M57"/>
  <c r="M58"/>
  <c r="M52" s="1"/>
  <c r="M64"/>
  <c r="M65"/>
  <c r="M66"/>
  <c r="M59" s="1"/>
  <c r="M72"/>
  <c r="M73"/>
  <c r="M74"/>
  <c r="M67" s="1"/>
  <c r="M79"/>
  <c r="O79" s="1"/>
  <c r="P79" s="1"/>
  <c r="Q79" s="1"/>
  <c r="M80"/>
  <c r="O80" s="1"/>
  <c r="P80" s="1"/>
  <c r="Q80" s="1"/>
  <c r="M81"/>
  <c r="M75" s="1"/>
  <c r="M86"/>
  <c r="M87"/>
  <c r="M88"/>
  <c r="M82" s="1"/>
  <c r="M93"/>
  <c r="M94"/>
  <c r="M95"/>
  <c r="M89" s="1"/>
  <c r="M11"/>
  <c r="L12"/>
  <c r="O12" s="1"/>
  <c r="P12" s="1"/>
  <c r="Q12" s="1"/>
  <c r="L13"/>
  <c r="O13" s="1"/>
  <c r="P13" s="1"/>
  <c r="Q13" s="1"/>
  <c r="L14"/>
  <c r="O14" s="1"/>
  <c r="P14" s="1"/>
  <c r="Q14" s="1"/>
  <c r="L15"/>
  <c r="O15" s="1"/>
  <c r="P15" s="1"/>
  <c r="Q15" s="1"/>
  <c r="L18"/>
  <c r="L17" s="1"/>
  <c r="L19"/>
  <c r="L20"/>
  <c r="O20" s="1"/>
  <c r="P20" s="1"/>
  <c r="Q20" s="1"/>
  <c r="L21"/>
  <c r="L27"/>
  <c r="O27" s="1"/>
  <c r="P27" s="1"/>
  <c r="Q27" s="1"/>
  <c r="L28"/>
  <c r="L29"/>
  <c r="O29" s="1"/>
  <c r="P29" s="1"/>
  <c r="Q29" s="1"/>
  <c r="L33"/>
  <c r="O33" s="1"/>
  <c r="P33" s="1"/>
  <c r="Q33" s="1"/>
  <c r="L34"/>
  <c r="O34" s="1"/>
  <c r="P34" s="1"/>
  <c r="Q34" s="1"/>
  <c r="L35"/>
  <c r="O35" s="1"/>
  <c r="P35" s="1"/>
  <c r="Q35" s="1"/>
  <c r="L36"/>
  <c r="O36" s="1"/>
  <c r="P36" s="1"/>
  <c r="Q36" s="1"/>
  <c r="L38"/>
  <c r="O40"/>
  <c r="P40" s="1"/>
  <c r="Q40" s="1"/>
  <c r="O41"/>
  <c r="P41" s="1"/>
  <c r="Q41" s="1"/>
  <c r="L42"/>
  <c r="O42" s="1"/>
  <c r="P42" s="1"/>
  <c r="Q42" s="1"/>
  <c r="L43"/>
  <c r="L44"/>
  <c r="O44" s="1"/>
  <c r="P44" s="1"/>
  <c r="Q44" s="1"/>
  <c r="L46"/>
  <c r="O48"/>
  <c r="P48" s="1"/>
  <c r="Q48" s="1"/>
  <c r="L49"/>
  <c r="L50"/>
  <c r="O50" s="1"/>
  <c r="P50" s="1"/>
  <c r="Q50" s="1"/>
  <c r="L51"/>
  <c r="L53"/>
  <c r="O55"/>
  <c r="P55" s="1"/>
  <c r="Q55" s="1"/>
  <c r="L56"/>
  <c r="O56" s="1"/>
  <c r="P56" s="1"/>
  <c r="Q56" s="1"/>
  <c r="L57"/>
  <c r="L58"/>
  <c r="O58" s="1"/>
  <c r="P58" s="1"/>
  <c r="Q58" s="1"/>
  <c r="O61"/>
  <c r="P61" s="1"/>
  <c r="Q61" s="1"/>
  <c r="O62"/>
  <c r="P62" s="1"/>
  <c r="Q62" s="1"/>
  <c r="O63"/>
  <c r="P63" s="1"/>
  <c r="Q63" s="1"/>
  <c r="L64"/>
  <c r="O64" s="1"/>
  <c r="P64" s="1"/>
  <c r="Q64" s="1"/>
  <c r="L65"/>
  <c r="O65" s="1"/>
  <c r="P65" s="1"/>
  <c r="Q65" s="1"/>
  <c r="L66"/>
  <c r="O66" s="1"/>
  <c r="P66" s="1"/>
  <c r="Q66" s="1"/>
  <c r="L68"/>
  <c r="O70"/>
  <c r="P70" s="1"/>
  <c r="Q70" s="1"/>
  <c r="O71"/>
  <c r="P71" s="1"/>
  <c r="Q71" s="1"/>
  <c r="L72"/>
  <c r="O72" s="1"/>
  <c r="P72" s="1"/>
  <c r="Q72" s="1"/>
  <c r="L73"/>
  <c r="O73" s="1"/>
  <c r="P73" s="1"/>
  <c r="Q73" s="1"/>
  <c r="L74"/>
  <c r="O74" s="1"/>
  <c r="P74" s="1"/>
  <c r="Q74" s="1"/>
  <c r="L86"/>
  <c r="O86" s="1"/>
  <c r="P86" s="1"/>
  <c r="Q86" s="1"/>
  <c r="L87"/>
  <c r="O87" s="1"/>
  <c r="P87" s="1"/>
  <c r="Q87" s="1"/>
  <c r="L88"/>
  <c r="O88" s="1"/>
  <c r="P88" s="1"/>
  <c r="Q88" s="1"/>
  <c r="L93"/>
  <c r="O93" s="1"/>
  <c r="P93" s="1"/>
  <c r="Q93" s="1"/>
  <c r="L94"/>
  <c r="O94" s="1"/>
  <c r="P94" s="1"/>
  <c r="Q94" s="1"/>
  <c r="L95"/>
  <c r="O95" s="1"/>
  <c r="P95" s="1"/>
  <c r="Q95" s="1"/>
  <c r="L11"/>
  <c r="O11" s="1"/>
  <c r="P11" s="1"/>
  <c r="Q11" s="1"/>
  <c r="L16" l="1"/>
  <c r="O57"/>
  <c r="P57" s="1"/>
  <c r="Q57" s="1"/>
  <c r="O51"/>
  <c r="P51" s="1"/>
  <c r="Q51" s="1"/>
  <c r="O49"/>
  <c r="P49" s="1"/>
  <c r="Q49" s="1"/>
  <c r="O43"/>
  <c r="P43" s="1"/>
  <c r="Q43" s="1"/>
  <c r="O28"/>
  <c r="P28" s="1"/>
  <c r="Q28" s="1"/>
  <c r="O21"/>
  <c r="P21" s="1"/>
  <c r="Q21" s="1"/>
  <c r="O19"/>
  <c r="P19" s="1"/>
  <c r="Q19" s="1"/>
  <c r="N16"/>
  <c r="M10"/>
  <c r="M9" s="1"/>
  <c r="N10"/>
  <c r="N9" s="1"/>
  <c r="O81"/>
  <c r="P81" s="1"/>
  <c r="Q81" s="1"/>
  <c r="O75"/>
  <c r="P75" s="1"/>
  <c r="Q75" s="1"/>
  <c r="L89"/>
  <c r="L31"/>
  <c r="L30" s="1"/>
  <c r="O30" s="1"/>
  <c r="P30" s="1"/>
  <c r="Q30" s="1"/>
  <c r="N22"/>
  <c r="O76"/>
  <c r="P76" s="1"/>
  <c r="Q76" s="1"/>
  <c r="L82"/>
  <c r="O82" s="1"/>
  <c r="P82" s="1"/>
  <c r="Q82" s="1"/>
  <c r="L67"/>
  <c r="O67" s="1"/>
  <c r="P67" s="1"/>
  <c r="Q67" s="1"/>
  <c r="O68"/>
  <c r="P68" s="1"/>
  <c r="Q68" s="1"/>
  <c r="L45"/>
  <c r="O45" s="1"/>
  <c r="P45" s="1"/>
  <c r="Q45" s="1"/>
  <c r="O46"/>
  <c r="P46" s="1"/>
  <c r="Q46" s="1"/>
  <c r="O38"/>
  <c r="O37" s="1"/>
  <c r="L37"/>
  <c r="L52"/>
  <c r="O52" s="1"/>
  <c r="P52" s="1"/>
  <c r="Q52" s="1"/>
  <c r="O53"/>
  <c r="P53" s="1"/>
  <c r="Q53" s="1"/>
  <c r="O31"/>
  <c r="P31" s="1"/>
  <c r="Q31" s="1"/>
  <c r="O69"/>
  <c r="P69" s="1"/>
  <c r="Q69" s="1"/>
  <c r="O39"/>
  <c r="P39" s="1"/>
  <c r="Q39" s="1"/>
  <c r="O32"/>
  <c r="P32" s="1"/>
  <c r="Q32" s="1"/>
  <c r="L10"/>
  <c r="L60"/>
  <c r="M16"/>
  <c r="O54"/>
  <c r="P54" s="1"/>
  <c r="Q54" s="1"/>
  <c r="O47"/>
  <c r="P47" s="1"/>
  <c r="Q47" s="1"/>
  <c r="M22"/>
  <c r="O24"/>
  <c r="P24" s="1"/>
  <c r="Q24" s="1"/>
  <c r="L23"/>
  <c r="L22" s="1"/>
  <c r="O26"/>
  <c r="O23"/>
  <c r="P23" s="1"/>
  <c r="Q23" s="1"/>
  <c r="P26"/>
  <c r="Q26" s="1"/>
  <c r="O17"/>
  <c r="O89"/>
  <c r="P89" s="1"/>
  <c r="Q89" s="1"/>
  <c r="O18"/>
  <c r="P18" s="1"/>
  <c r="Q18" s="1"/>
  <c r="P17"/>
  <c r="Q17" s="1"/>
  <c r="K12"/>
  <c r="K13"/>
  <c r="K14"/>
  <c r="K15"/>
  <c r="K16"/>
  <c r="K17"/>
  <c r="K18"/>
  <c r="K19"/>
  <c r="K20"/>
  <c r="K21"/>
  <c r="K22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11"/>
  <c r="O16" l="1"/>
  <c r="P16" s="1"/>
  <c r="Q16" s="1"/>
  <c r="P38"/>
  <c r="P37" s="1"/>
  <c r="O22"/>
  <c r="P22" s="1"/>
  <c r="Q22" s="1"/>
  <c r="L59"/>
  <c r="O59" s="1"/>
  <c r="P59" s="1"/>
  <c r="Q59" s="1"/>
  <c r="O60"/>
  <c r="P60" s="1"/>
  <c r="Q60" s="1"/>
  <c r="O10"/>
  <c r="P10" s="1"/>
  <c r="Q10" s="1"/>
  <c r="L9"/>
  <c r="O9" s="1"/>
  <c r="Q38"/>
  <c r="Q37" s="1"/>
  <c r="K23"/>
  <c r="P9" l="1"/>
  <c r="Q9"/>
</calcChain>
</file>

<file path=xl/sharedStrings.xml><?xml version="1.0" encoding="utf-8"?>
<sst xmlns="http://schemas.openxmlformats.org/spreadsheetml/2006/main" count="1718" uniqueCount="169">
  <si>
    <t>Группы общеразвивающей направленности (за исключением малокомплектных образовательных организаций)</t>
  </si>
  <si>
    <t>Нормативные затраты на оказание муниципальных услуг (работ) на 2016-2018 гг</t>
  </si>
  <si>
    <t>Приложение 3</t>
  </si>
  <si>
    <t>Наименование учреждения</t>
  </si>
  <si>
    <t>Ед. изм. объема услуги</t>
  </si>
  <si>
    <t>Значение объема муниципальной услуги (работы)</t>
  </si>
  <si>
    <t>Базовый норматив затрат на единицу объема</t>
  </si>
  <si>
    <t>Нормативные затраты на оказание муниципальной услуги (работы)</t>
  </si>
  <si>
    <t>2016 год</t>
  </si>
  <si>
    <t>2017 год</t>
  </si>
  <si>
    <t>2018 год</t>
  </si>
  <si>
    <t>в т.ч. Местный бюджет</t>
  </si>
  <si>
    <t>Итого:</t>
  </si>
  <si>
    <t>в соответствии с реестром</t>
  </si>
  <si>
    <t>в соответствии с перечнем</t>
  </si>
  <si>
    <t>по ОКЕИ</t>
  </si>
  <si>
    <t>в натуральных показателях</t>
  </si>
  <si>
    <t>в рублях</t>
  </si>
  <si>
    <t>МБДОУ д/с № 4</t>
  </si>
  <si>
    <t>до 3 лет</t>
  </si>
  <si>
    <t>чел.</t>
  </si>
  <si>
    <t>32</t>
  </si>
  <si>
    <t>0</t>
  </si>
  <si>
    <t>0,00</t>
  </si>
  <si>
    <t>от 3 до 7 лет</t>
  </si>
  <si>
    <t>88</t>
  </si>
  <si>
    <t>Мат. база</t>
  </si>
  <si>
    <t>120</t>
  </si>
  <si>
    <r>
      <rPr>
        <b/>
        <sz val="11"/>
        <rFont val="Times New Roman"/>
        <family val="1"/>
        <charset val="204"/>
      </rPr>
      <t>Присмотр и уход</t>
    </r>
  </si>
  <si>
    <t>МБДОУ д/с № 5</t>
  </si>
  <si>
    <t>Группы общеразвивающей направленности, созданные в малокомплектных образовательных организациях</t>
  </si>
  <si>
    <t>группы</t>
  </si>
  <si>
    <t>3</t>
  </si>
  <si>
    <t>Административноуправленческий и учебновспомогательный персонал</t>
  </si>
  <si>
    <t>37</t>
  </si>
  <si>
    <t>МБДОУ д/с № 7</t>
  </si>
  <si>
    <t>29</t>
  </si>
  <si>
    <t>43</t>
  </si>
  <si>
    <t>Группы компенсирующей направленности (за исключением малокомплектных образовательных организаций)</t>
  </si>
  <si>
    <t>48</t>
  </si>
  <si>
    <t>МБДОУ д/с № 8</t>
  </si>
  <si>
    <t>19</t>
  </si>
  <si>
    <t>87</t>
  </si>
  <si>
    <t>106</t>
  </si>
  <si>
    <t>МБДОУ д/с № 9</t>
  </si>
  <si>
    <t>52</t>
  </si>
  <si>
    <t>93</t>
  </si>
  <si>
    <t>72</t>
  </si>
  <si>
    <t>217</t>
  </si>
  <si>
    <t>МБДОУ д/с № 10</t>
  </si>
  <si>
    <t>21</t>
  </si>
  <si>
    <t>Мат.база</t>
  </si>
  <si>
    <t>108</t>
  </si>
  <si>
    <t>МБДОУ д/с № 12</t>
  </si>
  <si>
    <t>41</t>
  </si>
  <si>
    <t>109</t>
  </si>
  <si>
    <t>150</t>
  </si>
  <si>
    <t>МБДОУ д/с № 13</t>
  </si>
  <si>
    <t>18</t>
  </si>
  <si>
    <t>95</t>
  </si>
  <si>
    <t>113</t>
  </si>
  <si>
    <t>МБДОУ д/с № 14</t>
  </si>
  <si>
    <t>45</t>
  </si>
  <si>
    <t>190</t>
  </si>
  <si>
    <t>235</t>
  </si>
  <si>
    <t>МБДОУ д/с № 15</t>
  </si>
  <si>
    <t>31</t>
  </si>
  <si>
    <t>140</t>
  </si>
  <si>
    <t>МБДОУ д/с № 18</t>
  </si>
  <si>
    <t>28</t>
  </si>
  <si>
    <t>112</t>
  </si>
  <si>
    <t>МАДОУ д/с№ 17</t>
  </si>
  <si>
    <t>47</t>
  </si>
  <si>
    <t>198</t>
  </si>
  <si>
    <t>245</t>
  </si>
  <si>
    <r>
      <rPr>
        <b/>
        <sz val="11"/>
        <rFont val="Times New Roman"/>
        <family val="1"/>
        <charset val="204"/>
      </rPr>
      <t>Присмотр н уход</t>
    </r>
  </si>
  <si>
    <t>Реализация основных общеобразовательных программ дошкольного образования</t>
  </si>
  <si>
    <t>Административно-управленческий и учебно-вспомогательный персонал</t>
  </si>
  <si>
    <t>Группы общеразвивающей направленности, в которых воспитанники посещают бассейн</t>
  </si>
  <si>
    <t>в т.ч. Краевой бюджет пед.персонал</t>
  </si>
  <si>
    <t>в т.ч. Краевой бюджет адм-упр.и уч.-вспом.  персонал</t>
  </si>
  <si>
    <t>Наименование услуги</t>
  </si>
  <si>
    <t>27113,68</t>
  </si>
  <si>
    <t>в т.ч. Краевой бюджет адм-упр.и уч.-вспом. Персонал,руб.</t>
  </si>
  <si>
    <t>в т.ч. Местный бюджет, руб.</t>
  </si>
  <si>
    <t>в т.ч. Краевой бюджет пед.персонал, руб.</t>
  </si>
  <si>
    <t>Наименование услуги и уникальный номер реестровой записи</t>
  </si>
  <si>
    <t>Форма организации обучения детей</t>
  </si>
  <si>
    <t>Всего:</t>
  </si>
  <si>
    <t>краевой норматив на общеобразовательные программы</t>
  </si>
  <si>
    <t>краевой норматив на административно-управленч. и учебно-вспомогат.персонал</t>
  </si>
  <si>
    <t>норматив финансирования из местного бюджета</t>
  </si>
  <si>
    <t>Всего на 2016 год:</t>
  </si>
  <si>
    <t>в т.ч на  общеобразовательные программы</t>
  </si>
  <si>
    <t>на содержание административно-управленч. и учебно-вспомогат.персонал</t>
  </si>
  <si>
    <t>за счет финансирования из местного бюджета</t>
  </si>
  <si>
    <t>2017 год, всего</t>
  </si>
  <si>
    <t>2018 год, всего</t>
  </si>
  <si>
    <t>МБОУ Школа №2 им.Ю.А.Гагарина</t>
  </si>
  <si>
    <t>Реализация основных общеобразовательных программ начального общего образования</t>
  </si>
  <si>
    <t>Обучение детей  в образовательных организациях, реализующих программы общего образования (k = 1)</t>
  </si>
  <si>
    <t>человек</t>
  </si>
  <si>
    <t>Инклюзивное обучение детей c ограниченными возможностями здоровья в общеобразовательных классах образовательных организаций (k = 9)</t>
  </si>
  <si>
    <t>Х</t>
  </si>
  <si>
    <t>х</t>
  </si>
  <si>
    <t>Индивидуальное обучение детей при наличии соответствующего медицинского заключения и детей-инвалидов на дому (k = 10) город</t>
  </si>
  <si>
    <t>итого по услуге: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</si>
  <si>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</si>
  <si>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</si>
  <si>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общеразвивающих программ</t>
  </si>
  <si>
    <t>Реализация дополнительных общеобразовательных программ в физкультурно-спортивных клубах при образовательных организациях, реализующих основные общеобразовательные программы (город)</t>
  </si>
  <si>
    <t>. Реализация дополнительных общеобразовательных программ (за исключением физкультурно-спортивных клубов) в образовательных организациях, реализующих основные общеобразовательные программы (город)</t>
  </si>
  <si>
    <t>Всего по учреждению:</t>
  </si>
  <si>
    <t>МБОУ СОШ №4</t>
  </si>
  <si>
    <t>МБОУ СОШ №5</t>
  </si>
  <si>
    <t>МБОУ СОШ № 9</t>
  </si>
  <si>
    <t>МАОУ гимназия №10</t>
  </si>
  <si>
    <t>Обучение детей, находящихся на длительном лечении в медицинских учреждениях (индивидуальное, групповое) (k = 11)</t>
  </si>
  <si>
    <t>Обучение детей  в образовательных организациях, реализующих программы общего образования (k = 1) с углубленным изучением предметов</t>
  </si>
  <si>
    <t>МБОУ СОШ № 7</t>
  </si>
  <si>
    <t xml:space="preserve">Обучение детей  в малокомплектных образовательных организациях, расположенных в городских населенных пунктах, и в классах с наполняемостью 20 и более человек, созданных в малокомплектных образовательных организациях, расположенных в сельских населенных </t>
  </si>
  <si>
    <t>класс/человек</t>
  </si>
  <si>
    <t>2\46</t>
  </si>
  <si>
    <t>2\49</t>
  </si>
  <si>
    <t>642642,05- на 1 класс+20730,64 на 1 человека</t>
  </si>
  <si>
    <t>642642,05- на 1 класс+ 952,08- на 1 человека</t>
  </si>
  <si>
    <t>3857,41- на 1 человека</t>
  </si>
  <si>
    <t>15921,15- на 1 человека</t>
  </si>
  <si>
    <t>Обучение детей в классах с наполняемостью менее 20 человек, созданных в малокомплектных образовательных организациях, расположенных в сельских населенных пунктах (за исключением детей с ограниченными возможностями здоровья, обучающихся в отдельных классах) (k = 5)</t>
  </si>
  <si>
    <t>4\61</t>
  </si>
  <si>
    <t>4\63</t>
  </si>
  <si>
    <t>604145,69 на 1 класс+ 20730,64 на 1 человека</t>
  </si>
  <si>
    <t>604145,69- на 1 класс+ 952,08 на 1 человека</t>
  </si>
  <si>
    <t>6\107</t>
  </si>
  <si>
    <t>6\109</t>
  </si>
  <si>
    <t>6\112</t>
  </si>
  <si>
    <t>3\66</t>
  </si>
  <si>
    <t>5\112</t>
  </si>
  <si>
    <t>955112,98- на 1 класс+ 20947,76 на 1 человека</t>
  </si>
  <si>
    <t>955112,98- на 1 класс+ 1169,2 на 1 человека</t>
  </si>
  <si>
    <t>3\47</t>
  </si>
  <si>
    <t>6\99</t>
  </si>
  <si>
    <t>756594,85 на 1 класс+ 20947,76 на 1 человека</t>
  </si>
  <si>
    <t>756594,85- на 1 класс+1169,2 на 1 человека</t>
  </si>
  <si>
    <t>. Индивидуальное обучение детей при наличии соответствующего медицинского заключения и детей-инвалидов на дому (k = 10) село</t>
  </si>
  <si>
    <t>6\113</t>
  </si>
  <si>
    <t>8\146</t>
  </si>
  <si>
    <t>9\174</t>
  </si>
  <si>
    <t>1\7</t>
  </si>
  <si>
    <t>2\17</t>
  </si>
  <si>
    <t>808407,62 на 1 класс+ 21146,23 на 1 человека</t>
  </si>
  <si>
    <t>808407,62 на 1 класс+1367,67 на 1 человека</t>
  </si>
  <si>
    <t>Форма организации обучения. Направленность групп</t>
  </si>
  <si>
    <t>к Приказу от 31.12.2015_№ 317</t>
  </si>
  <si>
    <t>2. Общеобразовательные учреждения</t>
  </si>
  <si>
    <t>1. Дошкольные образовательные учреждения</t>
  </si>
  <si>
    <t>3. Учреждения дополнительного образования детей (местный бюджет)</t>
  </si>
  <si>
    <t>МБОУ ДО "ДДТ"</t>
  </si>
  <si>
    <t xml:space="preserve">Реализация дополнительных общеразвивающих программ (учреждения дополнительного образования детей) </t>
  </si>
  <si>
    <t>Психолого-медико-педагогическое обследование детей</t>
  </si>
  <si>
    <t>МБОУ ДО "ДЭБС"</t>
  </si>
  <si>
    <t>Кочанова Марина Александровна (39144)3-09-14</t>
  </si>
  <si>
    <t>Группы комбинированной направленности (за исключением малокомплектных образовательных организаций), городской населенный пункт</t>
  </si>
  <si>
    <t>11 762,02</t>
  </si>
  <si>
    <t>27 113,69</t>
  </si>
  <si>
    <t>3\35</t>
  </si>
  <si>
    <t>3\37</t>
  </si>
  <si>
    <t>Приложение 1</t>
  </si>
  <si>
    <t>к Приказу от 18.03.2016_№ 60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</si>
</sst>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6" fillId="0" borderId="3"/>
  </cellStyleXfs>
  <cellXfs count="114">
    <xf numFmtId="0" fontId="0" fillId="0" borderId="0" xfId="0"/>
    <xf numFmtId="0" fontId="0" fillId="0" borderId="1" xfId="0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vertical="top"/>
    </xf>
    <xf numFmtId="4" fontId="0" fillId="0" borderId="0" xfId="0" applyNumberFormat="1"/>
    <xf numFmtId="0" fontId="12" fillId="0" borderId="0" xfId="0" applyFont="1"/>
    <xf numFmtId="0" fontId="13" fillId="0" borderId="3" xfId="0" applyFont="1" applyBorder="1" applyAlignment="1">
      <alignment vertical="top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vertical="center" wrapText="1" readingOrder="1"/>
    </xf>
    <xf numFmtId="0" fontId="7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 readingOrder="1"/>
    </xf>
    <xf numFmtId="4" fontId="8" fillId="3" borderId="4" xfId="0" applyNumberFormat="1" applyFont="1" applyFill="1" applyBorder="1" applyAlignment="1">
      <alignment horizontal="center" vertical="center" wrapText="1" readingOrder="1"/>
    </xf>
    <xf numFmtId="4" fontId="4" fillId="3" borderId="4" xfId="0" applyNumberFormat="1" applyFont="1" applyFill="1" applyBorder="1" applyAlignment="1">
      <alignment horizontal="right" vertical="center" wrapText="1" readingOrder="1"/>
    </xf>
    <xf numFmtId="0" fontId="0" fillId="3" borderId="4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right" vertical="center" wrapText="1" readingOrder="1"/>
    </xf>
    <xf numFmtId="0" fontId="0" fillId="3" borderId="4" xfId="0" applyFont="1" applyFill="1" applyBorder="1" applyAlignment="1">
      <alignment horizontal="left" vertical="center"/>
    </xf>
    <xf numFmtId="2" fontId="9" fillId="3" borderId="4" xfId="0" applyNumberFormat="1" applyFont="1" applyFill="1" applyBorder="1" applyAlignment="1">
      <alignment horizontal="right" vertical="center" wrapText="1" readingOrder="1"/>
    </xf>
    <xf numFmtId="2" fontId="0" fillId="3" borderId="4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/>
    <xf numFmtId="0" fontId="7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2" fontId="11" fillId="3" borderId="4" xfId="0" applyNumberFormat="1" applyFont="1" applyFill="1" applyBorder="1"/>
    <xf numFmtId="0" fontId="11" fillId="3" borderId="4" xfId="0" applyFont="1" applyFill="1" applyBorder="1"/>
    <xf numFmtId="0" fontId="11" fillId="3" borderId="4" xfId="0" applyFont="1" applyFill="1" applyBorder="1" applyAlignment="1"/>
    <xf numFmtId="4" fontId="11" fillId="3" borderId="4" xfId="0" applyNumberFormat="1" applyFont="1" applyFill="1" applyBorder="1"/>
    <xf numFmtId="17" fontId="4" fillId="3" borderId="4" xfId="0" applyNumberFormat="1" applyFont="1" applyFill="1" applyBorder="1" applyAlignment="1">
      <alignment horizontal="right" vertical="center" wrapText="1" readingOrder="1"/>
    </xf>
    <xf numFmtId="2" fontId="8" fillId="3" borderId="4" xfId="0" applyNumberFormat="1" applyFont="1" applyFill="1" applyBorder="1" applyAlignment="1">
      <alignment horizontal="center" vertical="center" wrapText="1" readingOrder="1"/>
    </xf>
    <xf numFmtId="4" fontId="0" fillId="3" borderId="4" xfId="0" applyNumberFormat="1" applyFont="1" applyFill="1" applyBorder="1" applyAlignment="1">
      <alignment horizontal="right" vertical="center"/>
    </xf>
    <xf numFmtId="17" fontId="4" fillId="3" borderId="4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/>
    </xf>
    <xf numFmtId="2" fontId="7" fillId="3" borderId="4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top"/>
    </xf>
    <xf numFmtId="4" fontId="1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left" vertical="top" indent="2"/>
    </xf>
    <xf numFmtId="0" fontId="7" fillId="3" borderId="4" xfId="2" applyFont="1" applyFill="1" applyBorder="1" applyAlignment="1">
      <alignment horizontal="center" vertical="top" wrapText="1"/>
    </xf>
    <xf numFmtId="0" fontId="14" fillId="0" borderId="0" xfId="0" applyFont="1"/>
    <xf numFmtId="0" fontId="15" fillId="0" borderId="0" xfId="0" applyFont="1"/>
    <xf numFmtId="4" fontId="1" fillId="3" borderId="4" xfId="0" applyNumberFormat="1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/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 readingOrder="1"/>
    </xf>
    <xf numFmtId="0" fontId="7" fillId="3" borderId="4" xfId="2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wrapText="1"/>
    </xf>
    <xf numFmtId="4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 indent="2"/>
    </xf>
    <xf numFmtId="0" fontId="16" fillId="0" borderId="0" xfId="0" applyFont="1"/>
    <xf numFmtId="4" fontId="8" fillId="3" borderId="4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right" wrapText="1"/>
    </xf>
    <xf numFmtId="4" fontId="11" fillId="3" borderId="4" xfId="0" applyNumberFormat="1" applyFont="1" applyFill="1" applyBorder="1" applyAlignment="1"/>
    <xf numFmtId="4" fontId="0" fillId="3" borderId="4" xfId="0" applyNumberFormat="1" applyFont="1" applyFill="1" applyBorder="1" applyAlignment="1">
      <alignment horizontal="right"/>
    </xf>
    <xf numFmtId="4" fontId="1" fillId="3" borderId="4" xfId="0" applyNumberFormat="1" applyFont="1" applyFill="1" applyBorder="1" applyAlignment="1">
      <alignment horizontal="left"/>
    </xf>
    <xf numFmtId="4" fontId="4" fillId="3" borderId="4" xfId="0" applyNumberFormat="1" applyFont="1" applyFill="1" applyBorder="1" applyAlignment="1">
      <alignment horizontal="center" wrapText="1"/>
    </xf>
    <xf numFmtId="4" fontId="9" fillId="3" borderId="4" xfId="0" applyNumberFormat="1" applyFont="1" applyFill="1" applyBorder="1" applyAlignment="1">
      <alignment horizontal="right" wrapText="1"/>
    </xf>
    <xf numFmtId="4" fontId="0" fillId="3" borderId="4" xfId="0" applyNumberFormat="1" applyFont="1" applyFill="1" applyBorder="1" applyAlignment="1">
      <alignment horizontal="left"/>
    </xf>
    <xf numFmtId="4" fontId="7" fillId="3" borderId="4" xfId="0" applyNumberFormat="1" applyFont="1" applyFill="1" applyBorder="1" applyAlignment="1"/>
    <xf numFmtId="4" fontId="7" fillId="3" borderId="4" xfId="0" applyNumberFormat="1" applyFont="1" applyFill="1" applyBorder="1" applyAlignment="1">
      <alignment horizontal="right"/>
    </xf>
    <xf numFmtId="4" fontId="11" fillId="3" borderId="4" xfId="0" applyNumberFormat="1" applyFon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4" fontId="1" fillId="3" borderId="4" xfId="0" applyNumberFormat="1" applyFont="1" applyFill="1" applyBorder="1" applyAlignment="1">
      <alignment horizontal="right" vertical="top"/>
    </xf>
    <xf numFmtId="3" fontId="1" fillId="3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left"/>
    </xf>
    <xf numFmtId="3" fontId="2" fillId="3" borderId="4" xfId="0" applyNumberFormat="1" applyFont="1" applyFill="1" applyBorder="1" applyAlignment="1">
      <alignment horizontal="left"/>
    </xf>
    <xf numFmtId="3" fontId="4" fillId="3" borderId="4" xfId="0" applyNumberFormat="1" applyFont="1" applyFill="1" applyBorder="1" applyAlignment="1">
      <alignment horizontal="center" wrapText="1"/>
    </xf>
    <xf numFmtId="3" fontId="4" fillId="3" borderId="4" xfId="0" applyNumberFormat="1" applyFont="1" applyFill="1" applyBorder="1" applyAlignment="1">
      <alignment wrapText="1"/>
    </xf>
    <xf numFmtId="3" fontId="4" fillId="3" borderId="4" xfId="0" applyNumberFormat="1" applyFont="1" applyFill="1" applyBorder="1" applyAlignment="1">
      <alignment horizontal="right" wrapText="1"/>
    </xf>
    <xf numFmtId="3" fontId="9" fillId="3" borderId="4" xfId="0" applyNumberFormat="1" applyFont="1" applyFill="1" applyBorder="1" applyAlignment="1">
      <alignment horizontal="right" wrapText="1"/>
    </xf>
    <xf numFmtId="3" fontId="7" fillId="3" borderId="4" xfId="0" applyNumberFormat="1" applyFont="1" applyFill="1" applyBorder="1" applyAlignment="1"/>
    <xf numFmtId="3" fontId="11" fillId="3" borderId="4" xfId="0" applyNumberFormat="1" applyFont="1" applyFill="1" applyBorder="1" applyAlignment="1"/>
    <xf numFmtId="3" fontId="8" fillId="3" borderId="4" xfId="0" applyNumberFormat="1" applyFont="1" applyFill="1" applyBorder="1" applyAlignment="1">
      <alignment horizontal="center" wrapText="1"/>
    </xf>
    <xf numFmtId="3" fontId="0" fillId="3" borderId="4" xfId="0" applyNumberFormat="1" applyFont="1" applyFill="1" applyBorder="1" applyAlignment="1">
      <alignment horizontal="left"/>
    </xf>
    <xf numFmtId="0" fontId="1" fillId="3" borderId="4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top" wrapText="1"/>
    </xf>
    <xf numFmtId="0" fontId="10" fillId="3" borderId="4" xfId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 readingOrder="1"/>
    </xf>
    <xf numFmtId="0" fontId="13" fillId="3" borderId="4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wrapText="1"/>
    </xf>
    <xf numFmtId="3" fontId="4" fillId="3" borderId="4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Плохой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8"/>
  <sheetViews>
    <sheetView zoomScale="80" zoomScaleNormal="80" workbookViewId="0">
      <pane xSplit="3" ySplit="8" topLeftCell="D18" activePane="bottomRight" state="frozen"/>
      <selection pane="topRight" activeCell="D1" sqref="D1"/>
      <selection pane="bottomLeft" activeCell="A9" sqref="A9"/>
      <selection pane="bottomRight" activeCell="N21" sqref="N21"/>
    </sheetView>
  </sheetViews>
  <sheetFormatPr defaultRowHeight="12.75"/>
  <cols>
    <col min="1" max="1" width="19.42578125" customWidth="1"/>
    <col min="2" max="2" width="19.85546875" customWidth="1"/>
    <col min="3" max="3" width="23.7109375" customWidth="1"/>
    <col min="4" max="4" width="8.7109375" customWidth="1"/>
    <col min="5" max="5" width="12.42578125" customWidth="1"/>
    <col min="6" max="7" width="12.7109375" customWidth="1"/>
    <col min="8" max="8" width="14.140625" bestFit="1" customWidth="1"/>
    <col min="9" max="9" width="16" customWidth="1"/>
    <col min="10" max="10" width="13.85546875" customWidth="1"/>
    <col min="11" max="11" width="12.140625" bestFit="1" customWidth="1"/>
    <col min="12" max="12" width="16.7109375" customWidth="1"/>
    <col min="13" max="13" width="15.42578125" customWidth="1"/>
    <col min="14" max="14" width="13.28515625" customWidth="1"/>
    <col min="15" max="15" width="14.28515625" customWidth="1"/>
    <col min="16" max="16" width="13.140625" customWidth="1"/>
    <col min="17" max="17" width="14.85546875" bestFit="1" customWidth="1"/>
    <col min="19" max="19" width="13.5703125" bestFit="1" customWidth="1"/>
  </cols>
  <sheetData>
    <row r="1" spans="1:19" ht="15">
      <c r="A1" s="1"/>
      <c r="O1" s="3" t="s">
        <v>2</v>
      </c>
    </row>
    <row r="2" spans="1:19" ht="15">
      <c r="O2" s="3" t="s">
        <v>153</v>
      </c>
    </row>
    <row r="3" spans="1:19" ht="18.75">
      <c r="A3" s="108" t="s">
        <v>1</v>
      </c>
      <c r="B3" s="108"/>
      <c r="C3" s="109"/>
      <c r="D3" s="108"/>
      <c r="E3" s="108"/>
      <c r="F3" s="108"/>
      <c r="G3" s="108"/>
      <c r="H3" s="108"/>
      <c r="I3" s="109"/>
      <c r="J3" s="108"/>
      <c r="K3" s="108"/>
      <c r="L3" s="108"/>
      <c r="M3" s="108"/>
      <c r="N3" s="109"/>
      <c r="O3" s="108"/>
      <c r="P3" s="108"/>
      <c r="Q3" s="108"/>
    </row>
    <row r="4" spans="1:19" ht="36.75" customHeight="1">
      <c r="A4" s="6" t="s">
        <v>155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9" ht="15.75" hidden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45">
      <c r="A6" s="38" t="s">
        <v>3</v>
      </c>
      <c r="B6" s="38" t="s">
        <v>81</v>
      </c>
      <c r="C6" s="38" t="s">
        <v>152</v>
      </c>
      <c r="D6" s="38" t="s">
        <v>4</v>
      </c>
      <c r="E6" s="102" t="s">
        <v>5</v>
      </c>
      <c r="F6" s="102"/>
      <c r="G6" s="102"/>
      <c r="H6" s="103" t="s">
        <v>6</v>
      </c>
      <c r="I6" s="103"/>
      <c r="J6" s="103"/>
      <c r="K6" s="103"/>
      <c r="L6" s="103" t="s">
        <v>7</v>
      </c>
      <c r="M6" s="103"/>
      <c r="N6" s="103"/>
      <c r="O6" s="103"/>
      <c r="P6" s="103"/>
      <c r="Q6" s="103"/>
    </row>
    <row r="7" spans="1:19" ht="60">
      <c r="A7" s="39"/>
      <c r="B7" s="39"/>
      <c r="C7" s="39"/>
      <c r="D7" s="39"/>
      <c r="E7" s="40" t="s">
        <v>8</v>
      </c>
      <c r="F7" s="40" t="s">
        <v>9</v>
      </c>
      <c r="G7" s="40" t="s">
        <v>10</v>
      </c>
      <c r="H7" s="41" t="s">
        <v>79</v>
      </c>
      <c r="I7" s="38" t="s">
        <v>80</v>
      </c>
      <c r="J7" s="41" t="s">
        <v>11</v>
      </c>
      <c r="K7" s="40" t="s">
        <v>12</v>
      </c>
      <c r="L7" s="107" t="s">
        <v>8</v>
      </c>
      <c r="M7" s="107"/>
      <c r="N7" s="107"/>
      <c r="O7" s="107"/>
      <c r="P7" s="40" t="s">
        <v>9</v>
      </c>
      <c r="Q7" s="40" t="s">
        <v>10</v>
      </c>
    </row>
    <row r="8" spans="1:19" ht="43.5" customHeight="1">
      <c r="A8" s="42" t="s">
        <v>13</v>
      </c>
      <c r="B8" s="42" t="s">
        <v>14</v>
      </c>
      <c r="C8" s="42"/>
      <c r="D8" s="43" t="s">
        <v>15</v>
      </c>
      <c r="E8" s="42" t="s">
        <v>16</v>
      </c>
      <c r="F8" s="42" t="s">
        <v>16</v>
      </c>
      <c r="G8" s="42" t="s">
        <v>16</v>
      </c>
      <c r="H8" s="43" t="s">
        <v>17</v>
      </c>
      <c r="I8" s="43" t="s">
        <v>17</v>
      </c>
      <c r="J8" s="43" t="s">
        <v>17</v>
      </c>
      <c r="K8" s="43" t="s">
        <v>17</v>
      </c>
      <c r="L8" s="43" t="s">
        <v>85</v>
      </c>
      <c r="M8" s="43" t="s">
        <v>83</v>
      </c>
      <c r="N8" s="43" t="s">
        <v>84</v>
      </c>
      <c r="O8" s="43" t="s">
        <v>12</v>
      </c>
      <c r="P8" s="43" t="s">
        <v>17</v>
      </c>
      <c r="Q8" s="43" t="s">
        <v>17</v>
      </c>
    </row>
    <row r="9" spans="1:19" ht="15">
      <c r="A9" s="44" t="s">
        <v>18</v>
      </c>
      <c r="B9" s="45"/>
      <c r="C9" s="45"/>
      <c r="D9" s="45"/>
      <c r="E9" s="45"/>
      <c r="F9" s="45"/>
      <c r="G9" s="45"/>
      <c r="H9" s="46"/>
      <c r="I9" s="46"/>
      <c r="J9" s="46"/>
      <c r="K9" s="46"/>
      <c r="L9" s="46">
        <f>L10+L15</f>
        <v>4839183.68</v>
      </c>
      <c r="M9" s="46">
        <f t="shared" ref="M9:N9" si="0">M10+M15</f>
        <v>1411442.4</v>
      </c>
      <c r="N9" s="46">
        <f t="shared" si="0"/>
        <v>6372720</v>
      </c>
      <c r="O9" s="46">
        <f>L9+M9+N9</f>
        <v>12623346.08</v>
      </c>
      <c r="P9" s="46">
        <f>L9</f>
        <v>4839183.68</v>
      </c>
      <c r="Q9" s="46">
        <f>L9</f>
        <v>4839183.68</v>
      </c>
    </row>
    <row r="10" spans="1:19" ht="85.5">
      <c r="A10" s="47"/>
      <c r="B10" s="47" t="s">
        <v>76</v>
      </c>
      <c r="C10" s="47"/>
      <c r="D10" s="45"/>
      <c r="E10" s="48"/>
      <c r="F10" s="48"/>
      <c r="G10" s="48"/>
      <c r="H10" s="46"/>
      <c r="I10" s="46"/>
      <c r="J10" s="46"/>
      <c r="K10" s="46"/>
      <c r="L10" s="46">
        <f>L11+L12</f>
        <v>4839183.68</v>
      </c>
      <c r="M10" s="46">
        <f t="shared" ref="M10:N10" si="1">M11+M12</f>
        <v>1411442.4</v>
      </c>
      <c r="N10" s="46">
        <f t="shared" si="1"/>
        <v>3253642.8</v>
      </c>
      <c r="O10" s="46">
        <f>L10+M10+N10</f>
        <v>9504268.879999999</v>
      </c>
      <c r="P10" s="46">
        <f>O10</f>
        <v>9504268.879999999</v>
      </c>
      <c r="Q10" s="46">
        <f>P10</f>
        <v>9504268.879999999</v>
      </c>
      <c r="S10" s="4"/>
    </row>
    <row r="11" spans="1:19" ht="105">
      <c r="A11" s="42"/>
      <c r="B11" s="44" t="s">
        <v>19</v>
      </c>
      <c r="C11" s="42" t="s">
        <v>0</v>
      </c>
      <c r="D11" s="44" t="s">
        <v>20</v>
      </c>
      <c r="E11" s="44" t="s">
        <v>21</v>
      </c>
      <c r="F11" s="44" t="s">
        <v>21</v>
      </c>
      <c r="G11" s="44" t="s">
        <v>21</v>
      </c>
      <c r="H11" s="46">
        <v>47587</v>
      </c>
      <c r="I11" s="46">
        <v>11762.02</v>
      </c>
      <c r="J11" s="46">
        <v>27113.69</v>
      </c>
      <c r="K11" s="46">
        <f>H11+I11+J11</f>
        <v>86462.71</v>
      </c>
      <c r="L11" s="46">
        <f>E11*H11</f>
        <v>1522784</v>
      </c>
      <c r="M11" s="46">
        <f>F11*I11</f>
        <v>376384.64</v>
      </c>
      <c r="N11" s="46">
        <f>G11*J11</f>
        <v>867638.08</v>
      </c>
      <c r="O11" s="46">
        <f>L11+M11+N11</f>
        <v>2766806.72</v>
      </c>
      <c r="P11" s="46">
        <f>O11</f>
        <v>2766806.72</v>
      </c>
      <c r="Q11" s="46">
        <f>P11</f>
        <v>2766806.72</v>
      </c>
      <c r="S11" s="4"/>
    </row>
    <row r="12" spans="1:19" ht="15">
      <c r="A12" s="49"/>
      <c r="B12" s="50" t="s">
        <v>24</v>
      </c>
      <c r="C12" s="50"/>
      <c r="D12" s="50" t="s">
        <v>20</v>
      </c>
      <c r="E12" s="44" t="s">
        <v>25</v>
      </c>
      <c r="F12" s="44" t="s">
        <v>25</v>
      </c>
      <c r="G12" s="44" t="s">
        <v>25</v>
      </c>
      <c r="H12" s="46">
        <v>37686.36</v>
      </c>
      <c r="I12" s="46">
        <v>11762.02</v>
      </c>
      <c r="J12" s="46">
        <v>27113.69</v>
      </c>
      <c r="K12" s="46">
        <f t="shared" ref="K12:K75" si="2">H12+I12+J12</f>
        <v>76562.070000000007</v>
      </c>
      <c r="L12" s="46">
        <f t="shared" ref="L12:L74" si="3">E12*H12</f>
        <v>3316399.68</v>
      </c>
      <c r="M12" s="46">
        <f t="shared" ref="M12:M74" si="4">F12*I12</f>
        <v>1035057.76</v>
      </c>
      <c r="N12" s="46">
        <f t="shared" ref="N12:N74" si="5">G12*J12</f>
        <v>2386004.7199999997</v>
      </c>
      <c r="O12" s="46">
        <f t="shared" ref="O12:O75" si="6">L12+M12+N12</f>
        <v>6737462.1600000001</v>
      </c>
      <c r="P12" s="46">
        <f t="shared" ref="P12:Q75" si="7">O12</f>
        <v>6737462.1600000001</v>
      </c>
      <c r="Q12" s="46">
        <f t="shared" si="7"/>
        <v>6737462.1600000001</v>
      </c>
      <c r="S12" s="4"/>
    </row>
    <row r="13" spans="1:19" ht="75" hidden="1">
      <c r="A13" s="42" t="s">
        <v>77</v>
      </c>
      <c r="B13" s="45"/>
      <c r="C13" s="45"/>
      <c r="D13" s="44" t="s">
        <v>20</v>
      </c>
      <c r="E13" s="44" t="s">
        <v>27</v>
      </c>
      <c r="F13" s="44" t="s">
        <v>27</v>
      </c>
      <c r="G13" s="44" t="s">
        <v>27</v>
      </c>
      <c r="H13" s="46"/>
      <c r="I13" s="46"/>
      <c r="J13" s="46"/>
      <c r="K13" s="46">
        <f t="shared" si="2"/>
        <v>0</v>
      </c>
      <c r="L13" s="46">
        <f t="shared" si="3"/>
        <v>0</v>
      </c>
      <c r="M13" s="46">
        <f t="shared" si="4"/>
        <v>0</v>
      </c>
      <c r="N13" s="46">
        <f t="shared" si="5"/>
        <v>0</v>
      </c>
      <c r="O13" s="46">
        <f t="shared" si="6"/>
        <v>0</v>
      </c>
      <c r="P13" s="46">
        <f t="shared" si="7"/>
        <v>0</v>
      </c>
      <c r="Q13" s="46">
        <f t="shared" si="7"/>
        <v>0</v>
      </c>
    </row>
    <row r="14" spans="1:19" ht="15" hidden="1">
      <c r="A14" s="43"/>
      <c r="B14" s="45"/>
      <c r="C14" s="45"/>
      <c r="D14" s="45"/>
      <c r="E14" s="44" t="s">
        <v>27</v>
      </c>
      <c r="F14" s="44" t="s">
        <v>27</v>
      </c>
      <c r="G14" s="44" t="s">
        <v>27</v>
      </c>
      <c r="H14" s="46"/>
      <c r="I14" s="46"/>
      <c r="J14" s="46">
        <v>0</v>
      </c>
      <c r="K14" s="46">
        <f t="shared" si="2"/>
        <v>0</v>
      </c>
      <c r="L14" s="46">
        <f t="shared" si="3"/>
        <v>0</v>
      </c>
      <c r="M14" s="46">
        <f t="shared" si="4"/>
        <v>0</v>
      </c>
      <c r="N14" s="46">
        <f t="shared" si="5"/>
        <v>0</v>
      </c>
      <c r="O14" s="46">
        <f t="shared" si="6"/>
        <v>0</v>
      </c>
      <c r="P14" s="46">
        <f t="shared" si="7"/>
        <v>0</v>
      </c>
      <c r="Q14" s="46">
        <f t="shared" si="7"/>
        <v>0</v>
      </c>
    </row>
    <row r="15" spans="1:19" ht="15">
      <c r="A15" s="50"/>
      <c r="B15" s="50" t="s">
        <v>28</v>
      </c>
      <c r="C15" s="50"/>
      <c r="D15" s="45"/>
      <c r="E15" s="44" t="s">
        <v>27</v>
      </c>
      <c r="F15" s="44" t="s">
        <v>27</v>
      </c>
      <c r="G15" s="44" t="s">
        <v>27</v>
      </c>
      <c r="H15" s="46" t="s">
        <v>23</v>
      </c>
      <c r="I15" s="46"/>
      <c r="J15" s="46">
        <v>25992.31</v>
      </c>
      <c r="K15" s="46">
        <f t="shared" si="2"/>
        <v>25992.31</v>
      </c>
      <c r="L15" s="46">
        <f t="shared" si="3"/>
        <v>0</v>
      </c>
      <c r="M15" s="46">
        <f t="shared" si="4"/>
        <v>0</v>
      </c>
      <c r="N15" s="46">
        <f t="shared" si="5"/>
        <v>3119077.2</v>
      </c>
      <c r="O15" s="46">
        <f t="shared" si="6"/>
        <v>3119077.2</v>
      </c>
      <c r="P15" s="46">
        <f t="shared" si="7"/>
        <v>3119077.2</v>
      </c>
      <c r="Q15" s="46">
        <f t="shared" si="7"/>
        <v>3119077.2</v>
      </c>
    </row>
    <row r="16" spans="1:19" ht="15">
      <c r="A16" s="50" t="s">
        <v>29</v>
      </c>
      <c r="B16" s="50"/>
      <c r="C16" s="50"/>
      <c r="D16" s="45"/>
      <c r="E16" s="44"/>
      <c r="F16" s="44"/>
      <c r="G16" s="44"/>
      <c r="H16" s="46"/>
      <c r="I16" s="46"/>
      <c r="J16" s="46"/>
      <c r="K16" s="46">
        <f t="shared" si="2"/>
        <v>0</v>
      </c>
      <c r="L16" s="46">
        <f>L17+L21</f>
        <v>2191749.33</v>
      </c>
      <c r="M16" s="46">
        <f t="shared" ref="M16:N16" si="8">M17+M21</f>
        <v>435194.74</v>
      </c>
      <c r="N16" s="46">
        <f t="shared" si="8"/>
        <v>1964922</v>
      </c>
      <c r="O16" s="46">
        <f t="shared" si="6"/>
        <v>4591866.07</v>
      </c>
      <c r="P16" s="46">
        <f t="shared" si="7"/>
        <v>4591866.07</v>
      </c>
      <c r="Q16" s="46">
        <f t="shared" si="7"/>
        <v>4591866.07</v>
      </c>
    </row>
    <row r="17" spans="1:17" ht="85.5">
      <c r="A17" s="51"/>
      <c r="B17" s="47" t="s">
        <v>76</v>
      </c>
      <c r="C17" s="47"/>
      <c r="D17" s="45"/>
      <c r="E17" s="48"/>
      <c r="F17" s="48"/>
      <c r="G17" s="48"/>
      <c r="H17" s="46"/>
      <c r="I17" s="46"/>
      <c r="J17" s="46"/>
      <c r="K17" s="46">
        <f t="shared" si="2"/>
        <v>0</v>
      </c>
      <c r="L17" s="46">
        <f>L18</f>
        <v>2191749.33</v>
      </c>
      <c r="M17" s="46">
        <f t="shared" ref="M17:N17" si="9">M18</f>
        <v>435194.74</v>
      </c>
      <c r="N17" s="46">
        <f t="shared" si="9"/>
        <v>1003206.5299999999</v>
      </c>
      <c r="O17" s="46">
        <f>L17+M17+N17</f>
        <v>3630150.6</v>
      </c>
      <c r="P17" s="46">
        <f t="shared" si="7"/>
        <v>3630150.6</v>
      </c>
      <c r="Q17" s="46">
        <f t="shared" si="7"/>
        <v>3630150.6</v>
      </c>
    </row>
    <row r="18" spans="1:17" ht="105">
      <c r="A18" s="42"/>
      <c r="B18" s="45"/>
      <c r="C18" s="42" t="s">
        <v>30</v>
      </c>
      <c r="D18" s="50" t="s">
        <v>31</v>
      </c>
      <c r="E18" s="44" t="s">
        <v>32</v>
      </c>
      <c r="F18" s="44" t="s">
        <v>32</v>
      </c>
      <c r="G18" s="44">
        <v>3</v>
      </c>
      <c r="H18" s="46">
        <v>730583.11</v>
      </c>
      <c r="I18" s="46">
        <v>11762.02</v>
      </c>
      <c r="J18" s="46">
        <v>27113.69</v>
      </c>
      <c r="K18" s="46">
        <f t="shared" si="2"/>
        <v>769458.82</v>
      </c>
      <c r="L18" s="46">
        <f t="shared" si="3"/>
        <v>2191749.33</v>
      </c>
      <c r="M18" s="46">
        <f>E21*I18</f>
        <v>435194.74</v>
      </c>
      <c r="N18" s="46">
        <f>E21*J18</f>
        <v>1003206.5299999999</v>
      </c>
      <c r="O18" s="46">
        <f t="shared" si="6"/>
        <v>3630150.6</v>
      </c>
      <c r="P18" s="46">
        <f t="shared" si="7"/>
        <v>3630150.6</v>
      </c>
      <c r="Q18" s="46">
        <f t="shared" si="7"/>
        <v>3630150.6</v>
      </c>
    </row>
    <row r="19" spans="1:17" ht="15" hidden="1">
      <c r="A19" s="50" t="s">
        <v>26</v>
      </c>
      <c r="B19" s="45"/>
      <c r="C19" s="45"/>
      <c r="D19" s="50" t="s">
        <v>31</v>
      </c>
      <c r="E19" s="44" t="s">
        <v>32</v>
      </c>
      <c r="F19" s="44" t="s">
        <v>32</v>
      </c>
      <c r="G19" s="44" t="s">
        <v>32</v>
      </c>
      <c r="H19" s="46"/>
      <c r="I19" s="46">
        <v>11762.02</v>
      </c>
      <c r="J19" s="46">
        <v>27113.69</v>
      </c>
      <c r="K19" s="46">
        <f t="shared" si="2"/>
        <v>38875.71</v>
      </c>
      <c r="L19" s="46">
        <f t="shared" si="3"/>
        <v>0</v>
      </c>
      <c r="M19" s="46">
        <f t="shared" si="4"/>
        <v>35286.06</v>
      </c>
      <c r="N19" s="46">
        <f t="shared" si="5"/>
        <v>81341.069999999992</v>
      </c>
      <c r="O19" s="46">
        <f t="shared" si="6"/>
        <v>116627.12999999999</v>
      </c>
      <c r="P19" s="46">
        <f t="shared" si="7"/>
        <v>116627.12999999999</v>
      </c>
      <c r="Q19" s="46">
        <f t="shared" si="7"/>
        <v>116627.12999999999</v>
      </c>
    </row>
    <row r="20" spans="1:17" ht="75" hidden="1">
      <c r="A20" s="42" t="s">
        <v>77</v>
      </c>
      <c r="B20" s="45"/>
      <c r="C20" s="45"/>
      <c r="D20" s="50" t="s">
        <v>20</v>
      </c>
      <c r="E20" s="44" t="s">
        <v>34</v>
      </c>
      <c r="F20" s="44" t="s">
        <v>34</v>
      </c>
      <c r="G20" s="44" t="s">
        <v>34</v>
      </c>
      <c r="H20" s="46"/>
      <c r="I20" s="46"/>
      <c r="J20" s="46"/>
      <c r="K20" s="46">
        <f t="shared" si="2"/>
        <v>0</v>
      </c>
      <c r="L20" s="46">
        <f t="shared" si="3"/>
        <v>0</v>
      </c>
      <c r="M20" s="46">
        <f t="shared" si="4"/>
        <v>0</v>
      </c>
      <c r="N20" s="46">
        <f t="shared" si="5"/>
        <v>0</v>
      </c>
      <c r="O20" s="46">
        <f t="shared" si="6"/>
        <v>0</v>
      </c>
      <c r="P20" s="46">
        <f t="shared" si="7"/>
        <v>0</v>
      </c>
      <c r="Q20" s="46">
        <f t="shared" si="7"/>
        <v>0</v>
      </c>
    </row>
    <row r="21" spans="1:17" ht="15">
      <c r="A21" s="50"/>
      <c r="B21" s="50" t="s">
        <v>28</v>
      </c>
      <c r="C21" s="50"/>
      <c r="D21" s="50" t="s">
        <v>20</v>
      </c>
      <c r="E21" s="44" t="s">
        <v>34</v>
      </c>
      <c r="F21" s="44" t="s">
        <v>34</v>
      </c>
      <c r="G21" s="44" t="s">
        <v>34</v>
      </c>
      <c r="H21" s="46" t="s">
        <v>23</v>
      </c>
      <c r="I21" s="46"/>
      <c r="J21" s="46">
        <v>25992.31</v>
      </c>
      <c r="K21" s="46">
        <f t="shared" si="2"/>
        <v>25992.31</v>
      </c>
      <c r="L21" s="46">
        <f t="shared" si="3"/>
        <v>0</v>
      </c>
      <c r="M21" s="46">
        <f t="shared" si="4"/>
        <v>0</v>
      </c>
      <c r="N21" s="46">
        <f t="shared" si="5"/>
        <v>961715.47000000009</v>
      </c>
      <c r="O21" s="46">
        <f t="shared" si="6"/>
        <v>961715.47000000009</v>
      </c>
      <c r="P21" s="46">
        <f t="shared" si="7"/>
        <v>961715.47000000009</v>
      </c>
      <c r="Q21" s="46">
        <f t="shared" si="7"/>
        <v>961715.47000000009</v>
      </c>
    </row>
    <row r="22" spans="1:17" ht="15">
      <c r="A22" s="44" t="s">
        <v>35</v>
      </c>
      <c r="B22" s="45"/>
      <c r="C22" s="45"/>
      <c r="D22" s="45"/>
      <c r="E22" s="48"/>
      <c r="F22" s="48"/>
      <c r="G22" s="48"/>
      <c r="H22" s="46"/>
      <c r="I22" s="46"/>
      <c r="J22" s="46"/>
      <c r="K22" s="46">
        <f t="shared" si="2"/>
        <v>0</v>
      </c>
      <c r="L22" s="46">
        <f>L23+L29</f>
        <v>9194014.25</v>
      </c>
      <c r="M22" s="46">
        <f t="shared" ref="M22:N22" si="10">M23+M29</f>
        <v>1411442.4</v>
      </c>
      <c r="N22" s="46">
        <f t="shared" si="10"/>
        <v>6372720</v>
      </c>
      <c r="O22" s="46">
        <f>L22+M22+N22</f>
        <v>16978176.649999999</v>
      </c>
      <c r="P22" s="46">
        <f t="shared" si="7"/>
        <v>16978176.649999999</v>
      </c>
      <c r="Q22" s="46">
        <f t="shared" si="7"/>
        <v>16978176.649999999</v>
      </c>
    </row>
    <row r="23" spans="1:17" ht="85.5">
      <c r="A23" s="42"/>
      <c r="B23" s="47" t="s">
        <v>76</v>
      </c>
      <c r="C23" s="47"/>
      <c r="D23" s="45"/>
      <c r="E23" s="48"/>
      <c r="F23" s="48"/>
      <c r="G23" s="48"/>
      <c r="H23" s="46"/>
      <c r="I23" s="46"/>
      <c r="J23" s="46"/>
      <c r="K23" s="46">
        <f t="shared" si="2"/>
        <v>0</v>
      </c>
      <c r="L23" s="46">
        <f>L24+L25+L26</f>
        <v>9194014.25</v>
      </c>
      <c r="M23" s="46">
        <f>M24+M25+M26</f>
        <v>1411442.4</v>
      </c>
      <c r="N23" s="46">
        <f t="shared" ref="N23" si="11">N24+N25+N26</f>
        <v>3253642.8</v>
      </c>
      <c r="O23" s="46">
        <f>L23+M23+N23</f>
        <v>13859099.449999999</v>
      </c>
      <c r="P23" s="46">
        <f t="shared" si="7"/>
        <v>13859099.449999999</v>
      </c>
      <c r="Q23" s="46">
        <f t="shared" si="7"/>
        <v>13859099.449999999</v>
      </c>
    </row>
    <row r="24" spans="1:17" ht="105">
      <c r="A24" s="42"/>
      <c r="B24" s="44" t="s">
        <v>19</v>
      </c>
      <c r="C24" s="42" t="s">
        <v>0</v>
      </c>
      <c r="D24" s="50" t="s">
        <v>20</v>
      </c>
      <c r="E24" s="44" t="s">
        <v>36</v>
      </c>
      <c r="F24" s="44" t="s">
        <v>36</v>
      </c>
      <c r="G24" s="44" t="s">
        <v>36</v>
      </c>
      <c r="H24" s="46">
        <v>41608.51</v>
      </c>
      <c r="I24" s="46">
        <v>11762.02</v>
      </c>
      <c r="J24" s="46">
        <v>27113.69</v>
      </c>
      <c r="K24" s="46">
        <f t="shared" si="2"/>
        <v>80484.22</v>
      </c>
      <c r="L24" s="46">
        <f>E24*H24</f>
        <v>1206646.79</v>
      </c>
      <c r="M24" s="46">
        <f>E24*I24</f>
        <v>341098.58</v>
      </c>
      <c r="N24" s="46">
        <f>E24*J24</f>
        <v>786297.01</v>
      </c>
      <c r="O24" s="46">
        <f t="shared" ref="O24:O29" si="12">L24+M24+N24</f>
        <v>2334042.38</v>
      </c>
      <c r="P24" s="46">
        <f t="shared" si="7"/>
        <v>2334042.38</v>
      </c>
      <c r="Q24" s="46">
        <f t="shared" si="7"/>
        <v>2334042.38</v>
      </c>
    </row>
    <row r="25" spans="1:17" ht="15">
      <c r="A25" s="49"/>
      <c r="B25" s="44" t="s">
        <v>24</v>
      </c>
      <c r="C25" s="44"/>
      <c r="D25" s="44" t="s">
        <v>20</v>
      </c>
      <c r="E25" s="44" t="s">
        <v>37</v>
      </c>
      <c r="F25" s="44" t="s">
        <v>37</v>
      </c>
      <c r="G25" s="44" t="s">
        <v>37</v>
      </c>
      <c r="H25" s="46">
        <v>32991.18</v>
      </c>
      <c r="I25" s="46">
        <v>11762.02</v>
      </c>
      <c r="J25" s="46">
        <v>27113.69</v>
      </c>
      <c r="K25" s="46">
        <f t="shared" si="2"/>
        <v>71866.89</v>
      </c>
      <c r="L25" s="46">
        <f t="shared" ref="L25" si="13">E25*H25</f>
        <v>1418620.74</v>
      </c>
      <c r="M25" s="46">
        <f>E25*I25</f>
        <v>505766.86000000004</v>
      </c>
      <c r="N25" s="46">
        <f t="shared" ref="N25:N26" si="14">E25*J25</f>
        <v>1165888.67</v>
      </c>
      <c r="O25" s="46">
        <f t="shared" si="12"/>
        <v>3090276.27</v>
      </c>
      <c r="P25" s="46">
        <f t="shared" si="7"/>
        <v>3090276.27</v>
      </c>
      <c r="Q25" s="46">
        <f t="shared" si="7"/>
        <v>3090276.27</v>
      </c>
    </row>
    <row r="26" spans="1:17" ht="105">
      <c r="A26" s="42"/>
      <c r="B26" s="45"/>
      <c r="C26" s="42" t="s">
        <v>38</v>
      </c>
      <c r="D26" s="50" t="s">
        <v>20</v>
      </c>
      <c r="E26" s="44" t="s">
        <v>39</v>
      </c>
      <c r="F26" s="44" t="s">
        <v>39</v>
      </c>
      <c r="G26" s="44" t="s">
        <v>39</v>
      </c>
      <c r="H26" s="46">
        <v>136848.89000000001</v>
      </c>
      <c r="I26" s="46">
        <v>11762.02</v>
      </c>
      <c r="J26" s="46">
        <v>27113.69</v>
      </c>
      <c r="K26" s="46">
        <f t="shared" si="2"/>
        <v>175724.6</v>
      </c>
      <c r="L26" s="46">
        <f>E26*H26</f>
        <v>6568746.7200000007</v>
      </c>
      <c r="M26" s="46">
        <f>E26*I26</f>
        <v>564576.96</v>
      </c>
      <c r="N26" s="46">
        <f t="shared" si="14"/>
        <v>1301457.1199999999</v>
      </c>
      <c r="O26" s="46">
        <f t="shared" si="12"/>
        <v>8434780.8000000007</v>
      </c>
      <c r="P26" s="46">
        <f t="shared" si="7"/>
        <v>8434780.8000000007</v>
      </c>
      <c r="Q26" s="46">
        <f t="shared" si="7"/>
        <v>8434780.8000000007</v>
      </c>
    </row>
    <row r="27" spans="1:17" ht="15" hidden="1">
      <c r="A27" s="44" t="s">
        <v>26</v>
      </c>
      <c r="B27" s="45"/>
      <c r="C27" s="45"/>
      <c r="D27" s="44" t="s">
        <v>20</v>
      </c>
      <c r="E27" s="44" t="s">
        <v>27</v>
      </c>
      <c r="F27" s="44" t="s">
        <v>27</v>
      </c>
      <c r="G27" s="44" t="s">
        <v>27</v>
      </c>
      <c r="H27" s="46"/>
      <c r="I27" s="46">
        <v>11762.02</v>
      </c>
      <c r="J27" s="46"/>
      <c r="K27" s="46">
        <f t="shared" si="2"/>
        <v>11762.02</v>
      </c>
      <c r="L27" s="46">
        <f t="shared" si="3"/>
        <v>0</v>
      </c>
      <c r="M27" s="46">
        <f t="shared" si="4"/>
        <v>1411442.4000000001</v>
      </c>
      <c r="N27" s="46">
        <f t="shared" si="5"/>
        <v>0</v>
      </c>
      <c r="O27" s="46">
        <f t="shared" si="12"/>
        <v>1411442.4000000001</v>
      </c>
      <c r="P27" s="46">
        <f t="shared" si="7"/>
        <v>1411442.4000000001</v>
      </c>
      <c r="Q27" s="46">
        <f t="shared" si="7"/>
        <v>1411442.4000000001</v>
      </c>
    </row>
    <row r="28" spans="1:17" ht="75" hidden="1">
      <c r="A28" s="42" t="s">
        <v>77</v>
      </c>
      <c r="B28" s="45"/>
      <c r="C28" s="45"/>
      <c r="D28" s="50" t="s">
        <v>20</v>
      </c>
      <c r="E28" s="44" t="s">
        <v>27</v>
      </c>
      <c r="F28" s="44" t="s">
        <v>27</v>
      </c>
      <c r="G28" s="44" t="s">
        <v>27</v>
      </c>
      <c r="H28" s="46"/>
      <c r="I28" s="46"/>
      <c r="J28" s="46" t="s">
        <v>22</v>
      </c>
      <c r="K28" s="46">
        <f t="shared" si="2"/>
        <v>0</v>
      </c>
      <c r="L28" s="46">
        <f t="shared" si="3"/>
        <v>0</v>
      </c>
      <c r="M28" s="46">
        <f t="shared" si="4"/>
        <v>0</v>
      </c>
      <c r="N28" s="46">
        <f t="shared" si="5"/>
        <v>0</v>
      </c>
      <c r="O28" s="46">
        <f t="shared" si="12"/>
        <v>0</v>
      </c>
      <c r="P28" s="46">
        <f t="shared" si="7"/>
        <v>0</v>
      </c>
      <c r="Q28" s="46">
        <f t="shared" si="7"/>
        <v>0</v>
      </c>
    </row>
    <row r="29" spans="1:17" ht="15">
      <c r="A29" s="44"/>
      <c r="B29" s="44" t="s">
        <v>28</v>
      </c>
      <c r="C29" s="44"/>
      <c r="D29" s="50" t="s">
        <v>20</v>
      </c>
      <c r="E29" s="44" t="s">
        <v>27</v>
      </c>
      <c r="F29" s="44" t="s">
        <v>27</v>
      </c>
      <c r="G29" s="44" t="s">
        <v>27</v>
      </c>
      <c r="H29" s="46" t="s">
        <v>23</v>
      </c>
      <c r="I29" s="46"/>
      <c r="J29" s="46">
        <v>25992.31</v>
      </c>
      <c r="K29" s="46">
        <f t="shared" si="2"/>
        <v>25992.31</v>
      </c>
      <c r="L29" s="46">
        <f t="shared" si="3"/>
        <v>0</v>
      </c>
      <c r="M29" s="46">
        <f t="shared" si="4"/>
        <v>0</v>
      </c>
      <c r="N29" s="46">
        <f t="shared" si="5"/>
        <v>3119077.2</v>
      </c>
      <c r="O29" s="46">
        <f t="shared" si="12"/>
        <v>3119077.2</v>
      </c>
      <c r="P29" s="46">
        <f t="shared" si="7"/>
        <v>3119077.2</v>
      </c>
      <c r="Q29" s="46">
        <f t="shared" si="7"/>
        <v>3119077.2</v>
      </c>
    </row>
    <row r="30" spans="1:17" ht="15">
      <c r="A30" s="44" t="s">
        <v>40</v>
      </c>
      <c r="B30" s="52"/>
      <c r="C30" s="52"/>
      <c r="D30" s="52"/>
      <c r="E30" s="48"/>
      <c r="F30" s="48"/>
      <c r="G30" s="48"/>
      <c r="H30" s="46"/>
      <c r="I30" s="46"/>
      <c r="J30" s="46"/>
      <c r="K30" s="46">
        <f t="shared" si="2"/>
        <v>0</v>
      </c>
      <c r="L30" s="46">
        <f>L31+L36</f>
        <v>3660794.35</v>
      </c>
      <c r="M30" s="46">
        <f t="shared" ref="M30:N30" si="15">M31+M36</f>
        <v>1246774.1200000001</v>
      </c>
      <c r="N30" s="46">
        <f t="shared" si="15"/>
        <v>5629236</v>
      </c>
      <c r="O30" s="46">
        <f t="shared" si="6"/>
        <v>10536804.470000001</v>
      </c>
      <c r="P30" s="46">
        <f t="shared" si="7"/>
        <v>10536804.470000001</v>
      </c>
      <c r="Q30" s="46">
        <f t="shared" si="7"/>
        <v>10536804.470000001</v>
      </c>
    </row>
    <row r="31" spans="1:17" ht="85.5">
      <c r="A31" s="42"/>
      <c r="B31" s="47" t="s">
        <v>76</v>
      </c>
      <c r="C31" s="47"/>
      <c r="D31" s="52"/>
      <c r="E31" s="48"/>
      <c r="F31" s="48"/>
      <c r="G31" s="48"/>
      <c r="H31" s="46"/>
      <c r="I31" s="46"/>
      <c r="J31" s="46"/>
      <c r="K31" s="46">
        <f t="shared" si="2"/>
        <v>0</v>
      </c>
      <c r="L31" s="46">
        <f>L32+L33</f>
        <v>3660794.35</v>
      </c>
      <c r="M31" s="46">
        <f>M32+M33</f>
        <v>1246774.1200000001</v>
      </c>
      <c r="N31" s="46">
        <f t="shared" ref="N31" si="16">N32+N33</f>
        <v>2874051.1399999997</v>
      </c>
      <c r="O31" s="46">
        <f t="shared" si="6"/>
        <v>7781619.6100000003</v>
      </c>
      <c r="P31" s="46">
        <f t="shared" si="7"/>
        <v>7781619.6100000003</v>
      </c>
      <c r="Q31" s="46">
        <f t="shared" si="7"/>
        <v>7781619.6100000003</v>
      </c>
    </row>
    <row r="32" spans="1:17" ht="105">
      <c r="A32" s="42"/>
      <c r="B32" s="44" t="s">
        <v>19</v>
      </c>
      <c r="C32" s="42" t="s">
        <v>0</v>
      </c>
      <c r="D32" s="50" t="s">
        <v>20</v>
      </c>
      <c r="E32" s="44" t="s">
        <v>41</v>
      </c>
      <c r="F32" s="44" t="s">
        <v>41</v>
      </c>
      <c r="G32" s="44" t="s">
        <v>41</v>
      </c>
      <c r="H32" s="46">
        <v>41608.51</v>
      </c>
      <c r="I32" s="46">
        <v>11762.02</v>
      </c>
      <c r="J32" s="46">
        <v>27113.69</v>
      </c>
      <c r="K32" s="46">
        <f t="shared" si="2"/>
        <v>80484.22</v>
      </c>
      <c r="L32" s="46">
        <f>E32*H32</f>
        <v>790561.69000000006</v>
      </c>
      <c r="M32" s="46">
        <f>E32*I32</f>
        <v>223478.38</v>
      </c>
      <c r="N32" s="46">
        <f>E32*J32</f>
        <v>515160.11</v>
      </c>
      <c r="O32" s="46">
        <f t="shared" si="6"/>
        <v>1529200.1800000002</v>
      </c>
      <c r="P32" s="46">
        <f t="shared" si="7"/>
        <v>1529200.1800000002</v>
      </c>
      <c r="Q32" s="46">
        <f t="shared" si="7"/>
        <v>1529200.1800000002</v>
      </c>
    </row>
    <row r="33" spans="1:17" ht="15">
      <c r="A33" s="49"/>
      <c r="B33" s="44" t="s">
        <v>24</v>
      </c>
      <c r="C33" s="44"/>
      <c r="D33" s="44" t="s">
        <v>20</v>
      </c>
      <c r="E33" s="44" t="s">
        <v>42</v>
      </c>
      <c r="F33" s="44" t="s">
        <v>42</v>
      </c>
      <c r="G33" s="44" t="s">
        <v>42</v>
      </c>
      <c r="H33" s="46">
        <v>32991.18</v>
      </c>
      <c r="I33" s="46">
        <v>11762.02</v>
      </c>
      <c r="J33" s="46">
        <v>27113.69</v>
      </c>
      <c r="K33" s="46">
        <f t="shared" si="2"/>
        <v>71866.89</v>
      </c>
      <c r="L33" s="46">
        <f t="shared" si="3"/>
        <v>2870232.66</v>
      </c>
      <c r="M33" s="46">
        <f>E33*I33</f>
        <v>1023295.74</v>
      </c>
      <c r="N33" s="46">
        <f>E33*J33</f>
        <v>2358891.0299999998</v>
      </c>
      <c r="O33" s="46">
        <f t="shared" si="6"/>
        <v>6252419.4299999997</v>
      </c>
      <c r="P33" s="46">
        <f t="shared" si="7"/>
        <v>6252419.4299999997</v>
      </c>
      <c r="Q33" s="46">
        <f t="shared" si="7"/>
        <v>6252419.4299999997</v>
      </c>
    </row>
    <row r="34" spans="1:17" ht="15" hidden="1">
      <c r="A34" s="44" t="s">
        <v>26</v>
      </c>
      <c r="B34" s="52"/>
      <c r="C34" s="52"/>
      <c r="D34" s="44" t="s">
        <v>20</v>
      </c>
      <c r="E34" s="44" t="s">
        <v>43</v>
      </c>
      <c r="F34" s="44" t="s">
        <v>43</v>
      </c>
      <c r="G34" s="44" t="s">
        <v>43</v>
      </c>
      <c r="H34" s="46"/>
      <c r="I34" s="46">
        <v>11762.02</v>
      </c>
      <c r="J34" s="46"/>
      <c r="K34" s="46">
        <f t="shared" si="2"/>
        <v>11762.02</v>
      </c>
      <c r="L34" s="46">
        <f t="shared" si="3"/>
        <v>0</v>
      </c>
      <c r="M34" s="46">
        <f t="shared" si="4"/>
        <v>1246774.1200000001</v>
      </c>
      <c r="N34" s="46">
        <f t="shared" si="5"/>
        <v>0</v>
      </c>
      <c r="O34" s="46">
        <f t="shared" si="6"/>
        <v>1246774.1200000001</v>
      </c>
      <c r="P34" s="46">
        <f t="shared" si="7"/>
        <v>1246774.1200000001</v>
      </c>
      <c r="Q34" s="46">
        <f t="shared" si="7"/>
        <v>1246774.1200000001</v>
      </c>
    </row>
    <row r="35" spans="1:17" ht="60" hidden="1">
      <c r="A35" s="42" t="s">
        <v>33</v>
      </c>
      <c r="B35" s="52"/>
      <c r="C35" s="52"/>
      <c r="D35" s="50" t="s">
        <v>20</v>
      </c>
      <c r="E35" s="44" t="s">
        <v>43</v>
      </c>
      <c r="F35" s="44" t="s">
        <v>43</v>
      </c>
      <c r="G35" s="44" t="s">
        <v>43</v>
      </c>
      <c r="H35" s="46"/>
      <c r="I35" s="46"/>
      <c r="J35" s="46" t="s">
        <v>22</v>
      </c>
      <c r="K35" s="46">
        <f t="shared" si="2"/>
        <v>0</v>
      </c>
      <c r="L35" s="46">
        <f t="shared" si="3"/>
        <v>0</v>
      </c>
      <c r="M35" s="46">
        <f t="shared" si="4"/>
        <v>0</v>
      </c>
      <c r="N35" s="46">
        <f t="shared" si="5"/>
        <v>0</v>
      </c>
      <c r="O35" s="46">
        <f t="shared" si="6"/>
        <v>0</v>
      </c>
      <c r="P35" s="46">
        <f t="shared" si="7"/>
        <v>0</v>
      </c>
      <c r="Q35" s="46">
        <f t="shared" si="7"/>
        <v>0</v>
      </c>
    </row>
    <row r="36" spans="1:17" ht="15">
      <c r="A36" s="44"/>
      <c r="B36" s="44" t="s">
        <v>28</v>
      </c>
      <c r="C36" s="44"/>
      <c r="D36" s="44" t="s">
        <v>20</v>
      </c>
      <c r="E36" s="44" t="s">
        <v>43</v>
      </c>
      <c r="F36" s="44" t="s">
        <v>43</v>
      </c>
      <c r="G36" s="44" t="s">
        <v>43</v>
      </c>
      <c r="H36" s="46" t="s">
        <v>23</v>
      </c>
      <c r="I36" s="46"/>
      <c r="J36" s="46">
        <v>25992.31</v>
      </c>
      <c r="K36" s="46">
        <f t="shared" si="2"/>
        <v>25992.31</v>
      </c>
      <c r="L36" s="46">
        <f t="shared" si="3"/>
        <v>0</v>
      </c>
      <c r="M36" s="46">
        <f t="shared" si="4"/>
        <v>0</v>
      </c>
      <c r="N36" s="46">
        <f>E36*J36</f>
        <v>2755184.8600000003</v>
      </c>
      <c r="O36" s="46">
        <f t="shared" si="6"/>
        <v>2755184.8600000003</v>
      </c>
      <c r="P36" s="46">
        <f t="shared" si="7"/>
        <v>2755184.8600000003</v>
      </c>
      <c r="Q36" s="46">
        <f t="shared" si="7"/>
        <v>2755184.8600000003</v>
      </c>
    </row>
    <row r="37" spans="1:17" ht="15">
      <c r="A37" s="44" t="s">
        <v>44</v>
      </c>
      <c r="B37" s="52"/>
      <c r="C37" s="52"/>
      <c r="D37" s="52"/>
      <c r="E37" s="48"/>
      <c r="F37" s="48"/>
      <c r="G37" s="48"/>
      <c r="H37" s="46"/>
      <c r="I37" s="46"/>
      <c r="J37" s="46"/>
      <c r="K37" s="46">
        <f t="shared" si="2"/>
        <v>0</v>
      </c>
      <c r="L37" s="46">
        <f>L38+L44</f>
        <v>15084942.340000002</v>
      </c>
      <c r="M37" s="46">
        <f t="shared" ref="M37:N37" si="17">M38+M44</f>
        <v>2552358.3400000003</v>
      </c>
      <c r="N37" s="46">
        <f t="shared" si="17"/>
        <v>11524002</v>
      </c>
      <c r="O37" s="46">
        <f t="shared" ref="O37:Q37" si="18">O38+O44</f>
        <v>29161302.680000003</v>
      </c>
      <c r="P37" s="46">
        <f t="shared" si="18"/>
        <v>29161302.680000003</v>
      </c>
      <c r="Q37" s="46">
        <f t="shared" si="18"/>
        <v>29161302.680000003</v>
      </c>
    </row>
    <row r="38" spans="1:17" ht="85.5">
      <c r="A38" s="42"/>
      <c r="B38" s="47" t="s">
        <v>76</v>
      </c>
      <c r="C38" s="47"/>
      <c r="D38" s="52"/>
      <c r="E38" s="48"/>
      <c r="F38" s="48"/>
      <c r="G38" s="48"/>
      <c r="H38" s="46"/>
      <c r="I38" s="46"/>
      <c r="J38" s="46"/>
      <c r="K38" s="46">
        <f t="shared" si="2"/>
        <v>0</v>
      </c>
      <c r="L38" s="46">
        <f>L39+L40+L41</f>
        <v>15084942.340000002</v>
      </c>
      <c r="M38" s="46">
        <f>M39+M40+M41</f>
        <v>2552358.3400000003</v>
      </c>
      <c r="N38" s="46">
        <f t="shared" ref="N38" si="19">N39+N40+N41</f>
        <v>5883670.7299999995</v>
      </c>
      <c r="O38" s="46">
        <f t="shared" si="6"/>
        <v>23520971.410000004</v>
      </c>
      <c r="P38" s="46">
        <f t="shared" si="7"/>
        <v>23520971.410000004</v>
      </c>
      <c r="Q38" s="46">
        <f t="shared" si="7"/>
        <v>23520971.410000004</v>
      </c>
    </row>
    <row r="39" spans="1:17" ht="105">
      <c r="A39" s="42"/>
      <c r="B39" s="44" t="s">
        <v>19</v>
      </c>
      <c r="C39" s="42" t="s">
        <v>0</v>
      </c>
      <c r="D39" s="50" t="s">
        <v>20</v>
      </c>
      <c r="E39" s="44" t="s">
        <v>45</v>
      </c>
      <c r="F39" s="44" t="s">
        <v>45</v>
      </c>
      <c r="G39" s="44" t="s">
        <v>45</v>
      </c>
      <c r="H39" s="46">
        <v>41608.51</v>
      </c>
      <c r="I39" s="46">
        <v>11762.02</v>
      </c>
      <c r="J39" s="46">
        <v>27113.69</v>
      </c>
      <c r="K39" s="46">
        <f t="shared" si="2"/>
        <v>80484.22</v>
      </c>
      <c r="L39" s="46">
        <f>E39*H39</f>
        <v>2163642.52</v>
      </c>
      <c r="M39" s="46">
        <f>E39*I39</f>
        <v>611625.04</v>
      </c>
      <c r="N39" s="46">
        <f>E39*J39</f>
        <v>1409911.88</v>
      </c>
      <c r="O39" s="46">
        <f t="shared" si="6"/>
        <v>4185179.44</v>
      </c>
      <c r="P39" s="46">
        <f t="shared" si="7"/>
        <v>4185179.44</v>
      </c>
      <c r="Q39" s="46">
        <f t="shared" si="7"/>
        <v>4185179.44</v>
      </c>
    </row>
    <row r="40" spans="1:17" ht="15">
      <c r="A40" s="49"/>
      <c r="B40" s="44" t="s">
        <v>24</v>
      </c>
      <c r="C40" s="44"/>
      <c r="D40" s="44" t="s">
        <v>20</v>
      </c>
      <c r="E40" s="44" t="s">
        <v>46</v>
      </c>
      <c r="F40" s="44" t="s">
        <v>46</v>
      </c>
      <c r="G40" s="44" t="s">
        <v>46</v>
      </c>
      <c r="H40" s="46">
        <v>32991.18</v>
      </c>
      <c r="I40" s="46">
        <v>11762.02</v>
      </c>
      <c r="J40" s="46">
        <v>27113.69</v>
      </c>
      <c r="K40" s="46">
        <f t="shared" si="2"/>
        <v>71866.89</v>
      </c>
      <c r="L40" s="46">
        <f t="shared" ref="L40:L41" si="20">E40*H40</f>
        <v>3068179.74</v>
      </c>
      <c r="M40" s="46">
        <f>E40*I40</f>
        <v>1093867.8600000001</v>
      </c>
      <c r="N40" s="46">
        <f t="shared" ref="N40:N41" si="21">E40*J40</f>
        <v>2521573.17</v>
      </c>
      <c r="O40" s="46">
        <f t="shared" si="6"/>
        <v>6683620.7700000005</v>
      </c>
      <c r="P40" s="46">
        <f t="shared" si="7"/>
        <v>6683620.7700000005</v>
      </c>
      <c r="Q40" s="46">
        <f t="shared" si="7"/>
        <v>6683620.7700000005</v>
      </c>
    </row>
    <row r="41" spans="1:17" ht="105">
      <c r="A41" s="42"/>
      <c r="B41" s="52"/>
      <c r="C41" s="42" t="s">
        <v>38</v>
      </c>
      <c r="D41" s="50" t="s">
        <v>20</v>
      </c>
      <c r="E41" s="44" t="s">
        <v>47</v>
      </c>
      <c r="F41" s="44" t="s">
        <v>47</v>
      </c>
      <c r="G41" s="44" t="s">
        <v>47</v>
      </c>
      <c r="H41" s="46">
        <v>136848.89000000001</v>
      </c>
      <c r="I41" s="46">
        <v>11762.02</v>
      </c>
      <c r="J41" s="46">
        <v>27113.69</v>
      </c>
      <c r="K41" s="46">
        <f t="shared" si="2"/>
        <v>175724.6</v>
      </c>
      <c r="L41" s="46">
        <f t="shared" si="20"/>
        <v>9853120.0800000019</v>
      </c>
      <c r="M41" s="46">
        <f>E41*I41</f>
        <v>846865.44000000006</v>
      </c>
      <c r="N41" s="46">
        <f t="shared" si="21"/>
        <v>1952185.68</v>
      </c>
      <c r="O41" s="46">
        <f t="shared" si="6"/>
        <v>12652171.200000001</v>
      </c>
      <c r="P41" s="46">
        <f t="shared" si="7"/>
        <v>12652171.200000001</v>
      </c>
      <c r="Q41" s="46">
        <f t="shared" si="7"/>
        <v>12652171.200000001</v>
      </c>
    </row>
    <row r="42" spans="1:17" ht="15" hidden="1">
      <c r="A42" s="44" t="s">
        <v>26</v>
      </c>
      <c r="B42" s="52"/>
      <c r="C42" s="52"/>
      <c r="D42" s="44" t="s">
        <v>20</v>
      </c>
      <c r="E42" s="44" t="s">
        <v>48</v>
      </c>
      <c r="F42" s="44" t="s">
        <v>48</v>
      </c>
      <c r="G42" s="44" t="s">
        <v>48</v>
      </c>
      <c r="H42" s="46"/>
      <c r="I42" s="46">
        <v>11762.02</v>
      </c>
      <c r="J42" s="46"/>
      <c r="K42" s="46">
        <f t="shared" si="2"/>
        <v>11762.02</v>
      </c>
      <c r="L42" s="46">
        <f t="shared" si="3"/>
        <v>0</v>
      </c>
      <c r="M42" s="46">
        <f t="shared" si="4"/>
        <v>2552358.3400000003</v>
      </c>
      <c r="N42" s="46">
        <f t="shared" si="5"/>
        <v>0</v>
      </c>
      <c r="O42" s="46">
        <f t="shared" si="6"/>
        <v>2552358.3400000003</v>
      </c>
      <c r="P42" s="46">
        <f t="shared" si="7"/>
        <v>2552358.3400000003</v>
      </c>
      <c r="Q42" s="46">
        <f t="shared" si="7"/>
        <v>2552358.3400000003</v>
      </c>
    </row>
    <row r="43" spans="1:17" ht="75" hidden="1">
      <c r="A43" s="42" t="s">
        <v>77</v>
      </c>
      <c r="B43" s="52"/>
      <c r="C43" s="52"/>
      <c r="D43" s="50" t="s">
        <v>20</v>
      </c>
      <c r="E43" s="44" t="s">
        <v>48</v>
      </c>
      <c r="F43" s="44" t="s">
        <v>48</v>
      </c>
      <c r="G43" s="44" t="s">
        <v>48</v>
      </c>
      <c r="H43" s="46"/>
      <c r="I43" s="46"/>
      <c r="J43" s="46" t="s">
        <v>22</v>
      </c>
      <c r="K43" s="46">
        <f t="shared" si="2"/>
        <v>0</v>
      </c>
      <c r="L43" s="46">
        <f t="shared" si="3"/>
        <v>0</v>
      </c>
      <c r="M43" s="46">
        <f t="shared" si="4"/>
        <v>0</v>
      </c>
      <c r="N43" s="46">
        <f t="shared" si="5"/>
        <v>0</v>
      </c>
      <c r="O43" s="46">
        <f t="shared" si="6"/>
        <v>0</v>
      </c>
      <c r="P43" s="46">
        <f t="shared" si="7"/>
        <v>0</v>
      </c>
      <c r="Q43" s="46">
        <f t="shared" si="7"/>
        <v>0</v>
      </c>
    </row>
    <row r="44" spans="1:17" ht="15">
      <c r="A44" s="44"/>
      <c r="B44" s="44" t="s">
        <v>28</v>
      </c>
      <c r="C44" s="44"/>
      <c r="D44" s="44" t="s">
        <v>20</v>
      </c>
      <c r="E44" s="44" t="s">
        <v>48</v>
      </c>
      <c r="F44" s="44" t="s">
        <v>48</v>
      </c>
      <c r="G44" s="44" t="s">
        <v>48</v>
      </c>
      <c r="H44" s="46" t="s">
        <v>23</v>
      </c>
      <c r="I44" s="46"/>
      <c r="J44" s="46">
        <v>25992.31</v>
      </c>
      <c r="K44" s="46">
        <f t="shared" si="2"/>
        <v>25992.31</v>
      </c>
      <c r="L44" s="46">
        <f t="shared" si="3"/>
        <v>0</v>
      </c>
      <c r="M44" s="46">
        <f t="shared" si="4"/>
        <v>0</v>
      </c>
      <c r="N44" s="46">
        <f t="shared" si="5"/>
        <v>5640331.2700000005</v>
      </c>
      <c r="O44" s="46">
        <f t="shared" si="6"/>
        <v>5640331.2700000005</v>
      </c>
      <c r="P44" s="46">
        <f t="shared" si="7"/>
        <v>5640331.2700000005</v>
      </c>
      <c r="Q44" s="46">
        <f t="shared" si="7"/>
        <v>5640331.2700000005</v>
      </c>
    </row>
    <row r="45" spans="1:17" ht="15">
      <c r="A45" s="44" t="s">
        <v>49</v>
      </c>
      <c r="B45" s="52"/>
      <c r="C45" s="52"/>
      <c r="D45" s="52"/>
      <c r="E45" s="48"/>
      <c r="F45" s="48"/>
      <c r="G45" s="48"/>
      <c r="H45" s="46"/>
      <c r="I45" s="46"/>
      <c r="J45" s="46"/>
      <c r="K45" s="46">
        <f t="shared" si="2"/>
        <v>0</v>
      </c>
      <c r="L45" s="46">
        <f>L46+L51</f>
        <v>3744011.37</v>
      </c>
      <c r="M45" s="46">
        <f t="shared" ref="M45:N45" si="22">M46+M51</f>
        <v>1270298.1599999999</v>
      </c>
      <c r="N45" s="46">
        <f t="shared" si="22"/>
        <v>5735448</v>
      </c>
      <c r="O45" s="46">
        <f t="shared" si="6"/>
        <v>10749757.530000001</v>
      </c>
      <c r="P45" s="46">
        <f t="shared" si="7"/>
        <v>10749757.530000001</v>
      </c>
      <c r="Q45" s="46">
        <f t="shared" si="7"/>
        <v>10749757.530000001</v>
      </c>
    </row>
    <row r="46" spans="1:17" ht="85.5">
      <c r="A46" s="42"/>
      <c r="B46" s="47" t="s">
        <v>76</v>
      </c>
      <c r="C46" s="47"/>
      <c r="D46" s="52"/>
      <c r="E46" s="48"/>
      <c r="F46" s="48"/>
      <c r="G46" s="48"/>
      <c r="H46" s="46"/>
      <c r="I46" s="46"/>
      <c r="J46" s="46"/>
      <c r="K46" s="46">
        <f t="shared" si="2"/>
        <v>0</v>
      </c>
      <c r="L46" s="46">
        <f>L47+L48</f>
        <v>3744011.37</v>
      </c>
      <c r="M46" s="46">
        <f t="shared" ref="M46:N46" si="23">M47+M48</f>
        <v>1270298.1599999999</v>
      </c>
      <c r="N46" s="46">
        <f t="shared" si="23"/>
        <v>2928278.5199999996</v>
      </c>
      <c r="O46" s="46">
        <f t="shared" si="6"/>
        <v>7942588.0499999998</v>
      </c>
      <c r="P46" s="46">
        <f t="shared" si="7"/>
        <v>7942588.0499999998</v>
      </c>
      <c r="Q46" s="46">
        <f t="shared" si="7"/>
        <v>7942588.0499999998</v>
      </c>
    </row>
    <row r="47" spans="1:17" ht="105">
      <c r="A47" s="42"/>
      <c r="B47" s="44" t="s">
        <v>19</v>
      </c>
      <c r="C47" s="42" t="s">
        <v>0</v>
      </c>
      <c r="D47" s="50" t="s">
        <v>20</v>
      </c>
      <c r="E47" s="44" t="s">
        <v>50</v>
      </c>
      <c r="F47" s="44" t="s">
        <v>50</v>
      </c>
      <c r="G47" s="44" t="s">
        <v>50</v>
      </c>
      <c r="H47" s="46">
        <v>41608.51</v>
      </c>
      <c r="I47" s="46">
        <v>11762.02</v>
      </c>
      <c r="J47" s="46">
        <v>27113.69</v>
      </c>
      <c r="K47" s="46">
        <f t="shared" si="2"/>
        <v>80484.22</v>
      </c>
      <c r="L47" s="46">
        <f>E47*H47</f>
        <v>873778.71000000008</v>
      </c>
      <c r="M47" s="46">
        <f>E47*I47</f>
        <v>247002.42</v>
      </c>
      <c r="N47" s="46">
        <f>E47*J47</f>
        <v>569387.49</v>
      </c>
      <c r="O47" s="46">
        <f t="shared" si="6"/>
        <v>1690168.62</v>
      </c>
      <c r="P47" s="46">
        <f t="shared" si="7"/>
        <v>1690168.62</v>
      </c>
      <c r="Q47" s="46">
        <f t="shared" si="7"/>
        <v>1690168.62</v>
      </c>
    </row>
    <row r="48" spans="1:17" ht="15">
      <c r="A48" s="49"/>
      <c r="B48" s="44" t="s">
        <v>24</v>
      </c>
      <c r="C48" s="44"/>
      <c r="D48" s="44" t="s">
        <v>20</v>
      </c>
      <c r="E48" s="44" t="s">
        <v>42</v>
      </c>
      <c r="F48" s="44" t="s">
        <v>42</v>
      </c>
      <c r="G48" s="44" t="s">
        <v>42</v>
      </c>
      <c r="H48" s="46">
        <v>32991.18</v>
      </c>
      <c r="I48" s="46">
        <v>11762.02</v>
      </c>
      <c r="J48" s="46">
        <v>27113.69</v>
      </c>
      <c r="K48" s="46">
        <f t="shared" si="2"/>
        <v>71866.89</v>
      </c>
      <c r="L48" s="46">
        <f>E48*H48</f>
        <v>2870232.66</v>
      </c>
      <c r="M48" s="46">
        <f>E48*I48</f>
        <v>1023295.74</v>
      </c>
      <c r="N48" s="46">
        <f>E48*J48</f>
        <v>2358891.0299999998</v>
      </c>
      <c r="O48" s="46">
        <f t="shared" si="6"/>
        <v>6252419.4299999997</v>
      </c>
      <c r="P48" s="46">
        <f t="shared" si="7"/>
        <v>6252419.4299999997</v>
      </c>
      <c r="Q48" s="46">
        <f t="shared" si="7"/>
        <v>6252419.4299999997</v>
      </c>
    </row>
    <row r="49" spans="1:17" ht="15" hidden="1">
      <c r="A49" s="44" t="s">
        <v>51</v>
      </c>
      <c r="B49" s="52"/>
      <c r="C49" s="52"/>
      <c r="D49" s="52"/>
      <c r="E49" s="44" t="s">
        <v>52</v>
      </c>
      <c r="F49" s="44" t="s">
        <v>52</v>
      </c>
      <c r="G49" s="44" t="s">
        <v>52</v>
      </c>
      <c r="H49" s="46"/>
      <c r="I49" s="46">
        <v>11762.02</v>
      </c>
      <c r="J49" s="46"/>
      <c r="K49" s="46">
        <f t="shared" si="2"/>
        <v>11762.02</v>
      </c>
      <c r="L49" s="46">
        <f t="shared" si="3"/>
        <v>0</v>
      </c>
      <c r="M49" s="46">
        <f t="shared" si="4"/>
        <v>1270298.1600000001</v>
      </c>
      <c r="N49" s="46">
        <f t="shared" si="5"/>
        <v>0</v>
      </c>
      <c r="O49" s="46">
        <f t="shared" si="6"/>
        <v>1270298.1600000001</v>
      </c>
      <c r="P49" s="46">
        <f t="shared" si="7"/>
        <v>1270298.1600000001</v>
      </c>
      <c r="Q49" s="46">
        <f t="shared" si="7"/>
        <v>1270298.1600000001</v>
      </c>
    </row>
    <row r="50" spans="1:17" ht="60" hidden="1">
      <c r="A50" s="42" t="s">
        <v>33</v>
      </c>
      <c r="B50" s="52"/>
      <c r="C50" s="52"/>
      <c r="D50" s="52"/>
      <c r="E50" s="44" t="s">
        <v>52</v>
      </c>
      <c r="F50" s="44" t="s">
        <v>52</v>
      </c>
      <c r="G50" s="44" t="s">
        <v>52</v>
      </c>
      <c r="H50" s="46"/>
      <c r="I50" s="46"/>
      <c r="J50" s="46" t="s">
        <v>22</v>
      </c>
      <c r="K50" s="46">
        <f t="shared" si="2"/>
        <v>0</v>
      </c>
      <c r="L50" s="46">
        <f t="shared" si="3"/>
        <v>0</v>
      </c>
      <c r="M50" s="46">
        <f t="shared" si="4"/>
        <v>0</v>
      </c>
      <c r="N50" s="46">
        <f t="shared" si="5"/>
        <v>0</v>
      </c>
      <c r="O50" s="46">
        <f t="shared" si="6"/>
        <v>0</v>
      </c>
      <c r="P50" s="46">
        <f t="shared" si="7"/>
        <v>0</v>
      </c>
      <c r="Q50" s="46">
        <f t="shared" si="7"/>
        <v>0</v>
      </c>
    </row>
    <row r="51" spans="1:17" ht="15">
      <c r="A51" s="44"/>
      <c r="B51" s="44" t="s">
        <v>28</v>
      </c>
      <c r="C51" s="44"/>
      <c r="D51" s="44" t="s">
        <v>20</v>
      </c>
      <c r="E51" s="44" t="s">
        <v>52</v>
      </c>
      <c r="F51" s="44" t="s">
        <v>52</v>
      </c>
      <c r="G51" s="44" t="s">
        <v>52</v>
      </c>
      <c r="H51" s="46" t="s">
        <v>23</v>
      </c>
      <c r="I51" s="46"/>
      <c r="J51" s="46">
        <v>25992.31</v>
      </c>
      <c r="K51" s="46">
        <f t="shared" si="2"/>
        <v>25992.31</v>
      </c>
      <c r="L51" s="46">
        <f t="shared" si="3"/>
        <v>0</v>
      </c>
      <c r="M51" s="46">
        <f t="shared" si="4"/>
        <v>0</v>
      </c>
      <c r="N51" s="46">
        <f t="shared" si="5"/>
        <v>2807169.48</v>
      </c>
      <c r="O51" s="46">
        <f t="shared" si="6"/>
        <v>2807169.48</v>
      </c>
      <c r="P51" s="46">
        <f t="shared" si="7"/>
        <v>2807169.48</v>
      </c>
      <c r="Q51" s="46">
        <f t="shared" si="7"/>
        <v>2807169.48</v>
      </c>
    </row>
    <row r="52" spans="1:17" ht="15">
      <c r="A52" s="44" t="s">
        <v>53</v>
      </c>
      <c r="B52" s="52"/>
      <c r="C52" s="52"/>
      <c r="D52" s="52"/>
      <c r="E52" s="48"/>
      <c r="F52" s="48"/>
      <c r="G52" s="48"/>
      <c r="H52" s="46"/>
      <c r="I52" s="46"/>
      <c r="J52" s="46"/>
      <c r="K52" s="46">
        <f t="shared" si="2"/>
        <v>0</v>
      </c>
      <c r="L52" s="46">
        <f>L53+L58</f>
        <v>5301987.53</v>
      </c>
      <c r="M52" s="46">
        <f t="shared" ref="M52:N52" si="24">M53+M58</f>
        <v>1764303</v>
      </c>
      <c r="N52" s="46">
        <f t="shared" si="24"/>
        <v>7965900</v>
      </c>
      <c r="O52" s="46">
        <f t="shared" si="6"/>
        <v>15032190.530000001</v>
      </c>
      <c r="P52" s="46">
        <f t="shared" si="7"/>
        <v>15032190.530000001</v>
      </c>
      <c r="Q52" s="46">
        <f t="shared" si="7"/>
        <v>15032190.530000001</v>
      </c>
    </row>
    <row r="53" spans="1:17" ht="85.5">
      <c r="A53" s="42"/>
      <c r="B53" s="47" t="s">
        <v>76</v>
      </c>
      <c r="C53" s="47"/>
      <c r="D53" s="52"/>
      <c r="E53" s="48"/>
      <c r="F53" s="48"/>
      <c r="G53" s="48"/>
      <c r="H53" s="46"/>
      <c r="I53" s="46"/>
      <c r="J53" s="46"/>
      <c r="K53" s="46">
        <f t="shared" si="2"/>
        <v>0</v>
      </c>
      <c r="L53" s="46">
        <f>L54+L55</f>
        <v>5301987.53</v>
      </c>
      <c r="M53" s="46">
        <f t="shared" ref="M53:N53" si="25">M54+M55</f>
        <v>1764303</v>
      </c>
      <c r="N53" s="46">
        <f t="shared" si="25"/>
        <v>4067053.5</v>
      </c>
      <c r="O53" s="46">
        <f t="shared" si="6"/>
        <v>11133344.030000001</v>
      </c>
      <c r="P53" s="46">
        <f t="shared" si="7"/>
        <v>11133344.030000001</v>
      </c>
      <c r="Q53" s="46">
        <f t="shared" si="7"/>
        <v>11133344.030000001</v>
      </c>
    </row>
    <row r="54" spans="1:17" ht="105">
      <c r="A54" s="42"/>
      <c r="B54" s="44" t="s">
        <v>19</v>
      </c>
      <c r="C54" s="42" t="s">
        <v>0</v>
      </c>
      <c r="D54" s="50" t="s">
        <v>20</v>
      </c>
      <c r="E54" s="44" t="s">
        <v>54</v>
      </c>
      <c r="F54" s="44" t="s">
        <v>54</v>
      </c>
      <c r="G54" s="44" t="s">
        <v>54</v>
      </c>
      <c r="H54" s="46">
        <v>41608.51</v>
      </c>
      <c r="I54" s="46">
        <v>11762.02</v>
      </c>
      <c r="J54" s="46">
        <v>27113.69</v>
      </c>
      <c r="K54" s="46">
        <f t="shared" si="2"/>
        <v>80484.22</v>
      </c>
      <c r="L54" s="46">
        <f>E54*H54</f>
        <v>1705948.9100000001</v>
      </c>
      <c r="M54" s="46">
        <f>E54*I54</f>
        <v>482242.82</v>
      </c>
      <c r="N54" s="46">
        <f>E54*J54</f>
        <v>1111661.29</v>
      </c>
      <c r="O54" s="46">
        <f t="shared" si="6"/>
        <v>3299853.02</v>
      </c>
      <c r="P54" s="46">
        <f t="shared" si="7"/>
        <v>3299853.02</v>
      </c>
      <c r="Q54" s="46">
        <f t="shared" si="7"/>
        <v>3299853.02</v>
      </c>
    </row>
    <row r="55" spans="1:17" ht="15">
      <c r="A55" s="49"/>
      <c r="B55" s="44" t="s">
        <v>24</v>
      </c>
      <c r="C55" s="44"/>
      <c r="D55" s="44" t="s">
        <v>20</v>
      </c>
      <c r="E55" s="44" t="s">
        <v>55</v>
      </c>
      <c r="F55" s="44" t="s">
        <v>55</v>
      </c>
      <c r="G55" s="44" t="s">
        <v>55</v>
      </c>
      <c r="H55" s="46">
        <v>32991.18</v>
      </c>
      <c r="I55" s="46">
        <v>11762.02</v>
      </c>
      <c r="J55" s="46">
        <v>27113.69</v>
      </c>
      <c r="K55" s="46">
        <f t="shared" si="2"/>
        <v>71866.89</v>
      </c>
      <c r="L55" s="46">
        <f>E55*H55</f>
        <v>3596038.62</v>
      </c>
      <c r="M55" s="46">
        <f>E55*I55</f>
        <v>1282060.18</v>
      </c>
      <c r="N55" s="46">
        <f>E55*J55</f>
        <v>2955392.21</v>
      </c>
      <c r="O55" s="46">
        <f t="shared" si="6"/>
        <v>7833491.0099999998</v>
      </c>
      <c r="P55" s="46">
        <f t="shared" si="7"/>
        <v>7833491.0099999998</v>
      </c>
      <c r="Q55" s="46">
        <f t="shared" si="7"/>
        <v>7833491.0099999998</v>
      </c>
    </row>
    <row r="56" spans="1:17" ht="15" hidden="1">
      <c r="A56" s="44" t="s">
        <v>51</v>
      </c>
      <c r="B56" s="52"/>
      <c r="C56" s="52"/>
      <c r="D56" s="44" t="s">
        <v>20</v>
      </c>
      <c r="E56" s="44" t="s">
        <v>56</v>
      </c>
      <c r="F56" s="44" t="s">
        <v>56</v>
      </c>
      <c r="G56" s="44" t="s">
        <v>56</v>
      </c>
      <c r="H56" s="46"/>
      <c r="I56" s="46">
        <v>11762.02</v>
      </c>
      <c r="J56" s="46"/>
      <c r="K56" s="46">
        <f t="shared" si="2"/>
        <v>11762.02</v>
      </c>
      <c r="L56" s="46">
        <f t="shared" si="3"/>
        <v>0</v>
      </c>
      <c r="M56" s="46">
        <f t="shared" si="4"/>
        <v>1764303</v>
      </c>
      <c r="N56" s="46">
        <f t="shared" si="5"/>
        <v>0</v>
      </c>
      <c r="O56" s="46">
        <f t="shared" si="6"/>
        <v>1764303</v>
      </c>
      <c r="P56" s="46">
        <f t="shared" si="7"/>
        <v>1764303</v>
      </c>
      <c r="Q56" s="46">
        <f t="shared" si="7"/>
        <v>1764303</v>
      </c>
    </row>
    <row r="57" spans="1:17" ht="75" hidden="1">
      <c r="A57" s="42" t="s">
        <v>77</v>
      </c>
      <c r="B57" s="52"/>
      <c r="C57" s="52"/>
      <c r="D57" s="50" t="s">
        <v>20</v>
      </c>
      <c r="E57" s="44" t="s">
        <v>56</v>
      </c>
      <c r="F57" s="44" t="s">
        <v>56</v>
      </c>
      <c r="G57" s="44" t="s">
        <v>56</v>
      </c>
      <c r="H57" s="46"/>
      <c r="I57" s="46"/>
      <c r="J57" s="46" t="s">
        <v>22</v>
      </c>
      <c r="K57" s="46">
        <f t="shared" si="2"/>
        <v>0</v>
      </c>
      <c r="L57" s="46">
        <f t="shared" si="3"/>
        <v>0</v>
      </c>
      <c r="M57" s="46">
        <f t="shared" si="4"/>
        <v>0</v>
      </c>
      <c r="N57" s="46">
        <f t="shared" si="5"/>
        <v>0</v>
      </c>
      <c r="O57" s="46">
        <f t="shared" si="6"/>
        <v>0</v>
      </c>
      <c r="P57" s="46">
        <f t="shared" si="7"/>
        <v>0</v>
      </c>
      <c r="Q57" s="46">
        <f t="shared" si="7"/>
        <v>0</v>
      </c>
    </row>
    <row r="58" spans="1:17" ht="15">
      <c r="A58" s="44"/>
      <c r="B58" s="44" t="s">
        <v>28</v>
      </c>
      <c r="C58" s="44"/>
      <c r="D58" s="44" t="s">
        <v>20</v>
      </c>
      <c r="E58" s="44" t="s">
        <v>56</v>
      </c>
      <c r="F58" s="44" t="s">
        <v>56</v>
      </c>
      <c r="G58" s="44" t="s">
        <v>56</v>
      </c>
      <c r="H58" s="46" t="s">
        <v>23</v>
      </c>
      <c r="I58" s="46"/>
      <c r="J58" s="46">
        <v>25992.31</v>
      </c>
      <c r="K58" s="46">
        <f t="shared" si="2"/>
        <v>25992.31</v>
      </c>
      <c r="L58" s="46">
        <f t="shared" si="3"/>
        <v>0</v>
      </c>
      <c r="M58" s="46">
        <f t="shared" si="4"/>
        <v>0</v>
      </c>
      <c r="N58" s="46">
        <f t="shared" si="5"/>
        <v>3898846.5</v>
      </c>
      <c r="O58" s="46">
        <f t="shared" si="6"/>
        <v>3898846.5</v>
      </c>
      <c r="P58" s="46">
        <f t="shared" si="7"/>
        <v>3898846.5</v>
      </c>
      <c r="Q58" s="46">
        <f t="shared" si="7"/>
        <v>3898846.5</v>
      </c>
    </row>
    <row r="59" spans="1:17" ht="15">
      <c r="A59" s="44" t="s">
        <v>57</v>
      </c>
      <c r="B59" s="52"/>
      <c r="C59" s="52"/>
      <c r="D59" s="52"/>
      <c r="E59" s="48"/>
      <c r="F59" s="48"/>
      <c r="G59" s="48"/>
      <c r="H59" s="46"/>
      <c r="I59" s="46"/>
      <c r="J59" s="46"/>
      <c r="K59" s="46">
        <f t="shared" si="2"/>
        <v>0</v>
      </c>
      <c r="L59" s="46">
        <f>L60+L66</f>
        <v>4025136.4800000004</v>
      </c>
      <c r="M59" s="46">
        <f t="shared" ref="M59:N59" si="26">M60+M66</f>
        <v>1329108.2600000002</v>
      </c>
      <c r="N59" s="46">
        <f t="shared" si="26"/>
        <v>6000976.8700000001</v>
      </c>
      <c r="O59" s="46">
        <f t="shared" si="6"/>
        <v>11355221.609999999</v>
      </c>
      <c r="P59" s="46">
        <f t="shared" si="7"/>
        <v>11355221.609999999</v>
      </c>
      <c r="Q59" s="46">
        <f t="shared" si="7"/>
        <v>11355221.609999999</v>
      </c>
    </row>
    <row r="60" spans="1:17" ht="85.5">
      <c r="A60" s="42"/>
      <c r="B60" s="47" t="s">
        <v>76</v>
      </c>
      <c r="C60" s="47"/>
      <c r="D60" s="52"/>
      <c r="E60" s="48"/>
      <c r="F60" s="48"/>
      <c r="G60" s="48"/>
      <c r="H60" s="46"/>
      <c r="I60" s="46"/>
      <c r="J60" s="46"/>
      <c r="K60" s="46">
        <f t="shared" si="2"/>
        <v>0</v>
      </c>
      <c r="L60" s="46">
        <f>L61+L62+L63</f>
        <v>4025136.4800000004</v>
      </c>
      <c r="M60" s="46">
        <f t="shared" ref="M60:N60" si="27">M61+M62+M63</f>
        <v>1329108.2600000002</v>
      </c>
      <c r="N60" s="46">
        <f t="shared" si="27"/>
        <v>3063845.84</v>
      </c>
      <c r="O60" s="46">
        <f t="shared" si="6"/>
        <v>8418090.5800000001</v>
      </c>
      <c r="P60" s="46">
        <f t="shared" si="7"/>
        <v>8418090.5800000001</v>
      </c>
      <c r="Q60" s="46">
        <f t="shared" si="7"/>
        <v>8418090.5800000001</v>
      </c>
    </row>
    <row r="61" spans="1:17" ht="105">
      <c r="A61" s="42"/>
      <c r="B61" s="44" t="s">
        <v>19</v>
      </c>
      <c r="C61" s="42" t="s">
        <v>0</v>
      </c>
      <c r="D61" s="50" t="s">
        <v>20</v>
      </c>
      <c r="E61" s="44" t="s">
        <v>58</v>
      </c>
      <c r="F61" s="44" t="s">
        <v>58</v>
      </c>
      <c r="G61" s="44" t="s">
        <v>58</v>
      </c>
      <c r="H61" s="46">
        <v>41608.51</v>
      </c>
      <c r="I61" s="46">
        <v>11762.02</v>
      </c>
      <c r="J61" s="46" t="s">
        <v>82</v>
      </c>
      <c r="K61" s="46">
        <f t="shared" si="2"/>
        <v>80484.209999999992</v>
      </c>
      <c r="L61" s="46">
        <f>E61*H61</f>
        <v>748953.18</v>
      </c>
      <c r="M61" s="46">
        <f>E61*I61</f>
        <v>211716.36000000002</v>
      </c>
      <c r="N61" s="46">
        <f>E61*J61</f>
        <v>488046.24</v>
      </c>
      <c r="O61" s="46">
        <f t="shared" si="6"/>
        <v>1448715.78</v>
      </c>
      <c r="P61" s="46">
        <f t="shared" si="7"/>
        <v>1448715.78</v>
      </c>
      <c r="Q61" s="46">
        <f t="shared" si="7"/>
        <v>1448715.78</v>
      </c>
    </row>
    <row r="62" spans="1:17" ht="15">
      <c r="A62" s="49"/>
      <c r="B62" s="44" t="s">
        <v>24</v>
      </c>
      <c r="C62" s="44"/>
      <c r="D62" s="44" t="s">
        <v>20</v>
      </c>
      <c r="E62" s="44" t="s">
        <v>59</v>
      </c>
      <c r="F62" s="44" t="s">
        <v>59</v>
      </c>
      <c r="G62" s="44" t="s">
        <v>59</v>
      </c>
      <c r="H62" s="46">
        <v>32991.18</v>
      </c>
      <c r="I62" s="46">
        <v>11762.02</v>
      </c>
      <c r="J62" s="46" t="s">
        <v>82</v>
      </c>
      <c r="K62" s="46">
        <f t="shared" si="2"/>
        <v>71866.880000000005</v>
      </c>
      <c r="L62" s="46">
        <f t="shared" ref="L62:L63" si="28">E62*H62</f>
        <v>3134162.1</v>
      </c>
      <c r="M62" s="46">
        <f t="shared" ref="M62:M63" si="29">E62*I62</f>
        <v>1117391.9000000001</v>
      </c>
      <c r="N62" s="46">
        <f t="shared" ref="N62:N63" si="30">E62*J62</f>
        <v>2575799.6</v>
      </c>
      <c r="O62" s="46">
        <f t="shared" si="6"/>
        <v>6827353.5999999996</v>
      </c>
      <c r="P62" s="46">
        <f t="shared" si="7"/>
        <v>6827353.5999999996</v>
      </c>
      <c r="Q62" s="46">
        <f t="shared" si="7"/>
        <v>6827353.5999999996</v>
      </c>
    </row>
    <row r="63" spans="1:17" ht="75">
      <c r="A63" s="42"/>
      <c r="B63" s="52"/>
      <c r="C63" s="42" t="s">
        <v>78</v>
      </c>
      <c r="D63" s="50" t="s">
        <v>20</v>
      </c>
      <c r="E63" s="44" t="s">
        <v>59</v>
      </c>
      <c r="F63" s="44" t="s">
        <v>59</v>
      </c>
      <c r="G63" s="44" t="s">
        <v>59</v>
      </c>
      <c r="H63" s="46">
        <v>1494.96</v>
      </c>
      <c r="I63" s="46"/>
      <c r="J63" s="46"/>
      <c r="K63" s="46">
        <f t="shared" si="2"/>
        <v>1494.96</v>
      </c>
      <c r="L63" s="46">
        <f t="shared" si="28"/>
        <v>142021.20000000001</v>
      </c>
      <c r="M63" s="46">
        <f t="shared" si="29"/>
        <v>0</v>
      </c>
      <c r="N63" s="46">
        <f t="shared" si="30"/>
        <v>0</v>
      </c>
      <c r="O63" s="46">
        <f t="shared" si="6"/>
        <v>142021.20000000001</v>
      </c>
      <c r="P63" s="46">
        <f t="shared" si="7"/>
        <v>142021.20000000001</v>
      </c>
      <c r="Q63" s="46">
        <f t="shared" si="7"/>
        <v>142021.20000000001</v>
      </c>
    </row>
    <row r="64" spans="1:17" ht="15" hidden="1">
      <c r="A64" s="44" t="s">
        <v>26</v>
      </c>
      <c r="B64" s="52"/>
      <c r="C64" s="52"/>
      <c r="D64" s="44" t="s">
        <v>20</v>
      </c>
      <c r="E64" s="44" t="s">
        <v>60</v>
      </c>
      <c r="F64" s="44" t="s">
        <v>60</v>
      </c>
      <c r="G64" s="44" t="s">
        <v>60</v>
      </c>
      <c r="H64" s="46"/>
      <c r="I64" s="46"/>
      <c r="J64" s="46"/>
      <c r="K64" s="46">
        <f t="shared" si="2"/>
        <v>0</v>
      </c>
      <c r="L64" s="46">
        <f t="shared" si="3"/>
        <v>0</v>
      </c>
      <c r="M64" s="46">
        <f t="shared" si="4"/>
        <v>0</v>
      </c>
      <c r="N64" s="46">
        <f t="shared" si="5"/>
        <v>0</v>
      </c>
      <c r="O64" s="46">
        <f t="shared" si="6"/>
        <v>0</v>
      </c>
      <c r="P64" s="46">
        <f t="shared" si="7"/>
        <v>0</v>
      </c>
      <c r="Q64" s="46">
        <f t="shared" si="7"/>
        <v>0</v>
      </c>
    </row>
    <row r="65" spans="1:17" ht="75" hidden="1">
      <c r="A65" s="42" t="s">
        <v>77</v>
      </c>
      <c r="B65" s="52"/>
      <c r="C65" s="52"/>
      <c r="D65" s="50" t="s">
        <v>20</v>
      </c>
      <c r="E65" s="44" t="s">
        <v>60</v>
      </c>
      <c r="F65" s="44" t="s">
        <v>60</v>
      </c>
      <c r="G65" s="44" t="s">
        <v>60</v>
      </c>
      <c r="H65" s="46"/>
      <c r="I65" s="46"/>
      <c r="J65" s="46" t="s">
        <v>22</v>
      </c>
      <c r="K65" s="46">
        <f t="shared" si="2"/>
        <v>0</v>
      </c>
      <c r="L65" s="46">
        <f t="shared" si="3"/>
        <v>0</v>
      </c>
      <c r="M65" s="46">
        <f t="shared" si="4"/>
        <v>0</v>
      </c>
      <c r="N65" s="46">
        <f t="shared" si="5"/>
        <v>0</v>
      </c>
      <c r="O65" s="46">
        <f t="shared" si="6"/>
        <v>0</v>
      </c>
      <c r="P65" s="46">
        <f t="shared" si="7"/>
        <v>0</v>
      </c>
      <c r="Q65" s="46">
        <f t="shared" si="7"/>
        <v>0</v>
      </c>
    </row>
    <row r="66" spans="1:17" ht="15">
      <c r="A66" s="44"/>
      <c r="B66" s="44" t="s">
        <v>28</v>
      </c>
      <c r="C66" s="44"/>
      <c r="D66" s="44" t="s">
        <v>20</v>
      </c>
      <c r="E66" s="44" t="s">
        <v>60</v>
      </c>
      <c r="F66" s="44" t="s">
        <v>60</v>
      </c>
      <c r="G66" s="44" t="s">
        <v>60</v>
      </c>
      <c r="H66" s="46" t="s">
        <v>23</v>
      </c>
      <c r="I66" s="46"/>
      <c r="J66" s="46">
        <v>25992.31</v>
      </c>
      <c r="K66" s="46">
        <f t="shared" si="2"/>
        <v>25992.31</v>
      </c>
      <c r="L66" s="46">
        <f t="shared" si="3"/>
        <v>0</v>
      </c>
      <c r="M66" s="46">
        <f t="shared" si="4"/>
        <v>0</v>
      </c>
      <c r="N66" s="46">
        <f t="shared" si="5"/>
        <v>2937131.0300000003</v>
      </c>
      <c r="O66" s="46">
        <f t="shared" si="6"/>
        <v>2937131.0300000003</v>
      </c>
      <c r="P66" s="46">
        <f t="shared" si="7"/>
        <v>2937131.0300000003</v>
      </c>
      <c r="Q66" s="46">
        <f t="shared" si="7"/>
        <v>2937131.0300000003</v>
      </c>
    </row>
    <row r="67" spans="1:17" ht="15">
      <c r="A67" s="44" t="s">
        <v>61</v>
      </c>
      <c r="B67" s="52"/>
      <c r="C67" s="52"/>
      <c r="D67" s="52"/>
      <c r="E67" s="48"/>
      <c r="F67" s="48"/>
      <c r="G67" s="48"/>
      <c r="H67" s="46"/>
      <c r="I67" s="46"/>
      <c r="J67" s="46"/>
      <c r="K67" s="46">
        <f t="shared" si="2"/>
        <v>0</v>
      </c>
      <c r="L67" s="46">
        <f>L68+L74</f>
        <v>8424749.5500000007</v>
      </c>
      <c r="M67" s="46">
        <f t="shared" ref="M67:N67" si="31">M68+M74</f>
        <v>2764074.7</v>
      </c>
      <c r="N67" s="46">
        <f t="shared" si="31"/>
        <v>12479910</v>
      </c>
      <c r="O67" s="46">
        <f t="shared" si="6"/>
        <v>23668734.25</v>
      </c>
      <c r="P67" s="46">
        <f t="shared" si="7"/>
        <v>23668734.25</v>
      </c>
      <c r="Q67" s="46">
        <f t="shared" si="7"/>
        <v>23668734.25</v>
      </c>
    </row>
    <row r="68" spans="1:17" ht="85.5">
      <c r="A68" s="42"/>
      <c r="B68" s="47" t="s">
        <v>76</v>
      </c>
      <c r="C68" s="47"/>
      <c r="D68" s="52"/>
      <c r="E68" s="48"/>
      <c r="F68" s="48"/>
      <c r="G68" s="48"/>
      <c r="H68" s="46"/>
      <c r="I68" s="46"/>
      <c r="J68" s="46"/>
      <c r="K68" s="46">
        <f t="shared" si="2"/>
        <v>0</v>
      </c>
      <c r="L68" s="46">
        <f>L69+L70+L71</f>
        <v>8424749.5500000007</v>
      </c>
      <c r="M68" s="46">
        <f t="shared" ref="M68:N68" si="32">M69+M70+M71</f>
        <v>2764074.7</v>
      </c>
      <c r="N68" s="46">
        <f t="shared" si="32"/>
        <v>6371717.1499999994</v>
      </c>
      <c r="O68" s="46">
        <f t="shared" si="6"/>
        <v>17560541.399999999</v>
      </c>
      <c r="P68" s="46">
        <f t="shared" si="7"/>
        <v>17560541.399999999</v>
      </c>
      <c r="Q68" s="46">
        <f t="shared" si="7"/>
        <v>17560541.399999999</v>
      </c>
    </row>
    <row r="69" spans="1:17" ht="105">
      <c r="A69" s="42"/>
      <c r="B69" s="44" t="s">
        <v>19</v>
      </c>
      <c r="C69" s="42" t="s">
        <v>0</v>
      </c>
      <c r="D69" s="50" t="s">
        <v>20</v>
      </c>
      <c r="E69" s="44" t="s">
        <v>62</v>
      </c>
      <c r="F69" s="44" t="s">
        <v>62</v>
      </c>
      <c r="G69" s="44" t="s">
        <v>62</v>
      </c>
      <c r="H69" s="46">
        <v>41608.51</v>
      </c>
      <c r="I69" s="46">
        <v>11762.02</v>
      </c>
      <c r="J69" s="46">
        <v>27113.69</v>
      </c>
      <c r="K69" s="46">
        <f t="shared" si="2"/>
        <v>80484.22</v>
      </c>
      <c r="L69" s="46">
        <f>E69*H69</f>
        <v>1872382.9500000002</v>
      </c>
      <c r="M69" s="46">
        <f>E69*I69</f>
        <v>529290.9</v>
      </c>
      <c r="N69" s="46">
        <f>E69*J69</f>
        <v>1220116.05</v>
      </c>
      <c r="O69" s="46">
        <f t="shared" si="6"/>
        <v>3621789.9000000004</v>
      </c>
      <c r="P69" s="46">
        <f t="shared" si="7"/>
        <v>3621789.9000000004</v>
      </c>
      <c r="Q69" s="46">
        <f t="shared" si="7"/>
        <v>3621789.9000000004</v>
      </c>
    </row>
    <row r="70" spans="1:17" ht="15">
      <c r="A70" s="49"/>
      <c r="B70" s="44" t="s">
        <v>24</v>
      </c>
      <c r="C70" s="44"/>
      <c r="D70" s="44" t="s">
        <v>20</v>
      </c>
      <c r="E70" s="44" t="s">
        <v>63</v>
      </c>
      <c r="F70" s="44" t="s">
        <v>63</v>
      </c>
      <c r="G70" s="44" t="s">
        <v>63</v>
      </c>
      <c r="H70" s="46">
        <v>32991.18</v>
      </c>
      <c r="I70" s="46">
        <v>11762.02</v>
      </c>
      <c r="J70" s="46">
        <v>27113.69</v>
      </c>
      <c r="K70" s="46">
        <f t="shared" si="2"/>
        <v>71866.89</v>
      </c>
      <c r="L70" s="46">
        <f t="shared" ref="L70:L71" si="33">E70*H70</f>
        <v>6268324.2000000002</v>
      </c>
      <c r="M70" s="46">
        <f t="shared" ref="M70:M71" si="34">E70*I70</f>
        <v>2234783.8000000003</v>
      </c>
      <c r="N70" s="46">
        <f t="shared" ref="N70:N71" si="35">E70*J70</f>
        <v>5151601.0999999996</v>
      </c>
      <c r="O70" s="46">
        <f t="shared" si="6"/>
        <v>13654709.1</v>
      </c>
      <c r="P70" s="46">
        <f t="shared" si="7"/>
        <v>13654709.1</v>
      </c>
      <c r="Q70" s="46">
        <f t="shared" si="7"/>
        <v>13654709.1</v>
      </c>
    </row>
    <row r="71" spans="1:17" ht="75">
      <c r="A71" s="42"/>
      <c r="B71" s="52"/>
      <c r="C71" s="42" t="s">
        <v>78</v>
      </c>
      <c r="D71" s="50" t="s">
        <v>20</v>
      </c>
      <c r="E71" s="44" t="s">
        <v>63</v>
      </c>
      <c r="F71" s="44" t="s">
        <v>63</v>
      </c>
      <c r="G71" s="44" t="s">
        <v>63</v>
      </c>
      <c r="H71" s="46">
        <v>1494.96</v>
      </c>
      <c r="I71" s="46"/>
      <c r="J71" s="46"/>
      <c r="K71" s="46">
        <f t="shared" si="2"/>
        <v>1494.96</v>
      </c>
      <c r="L71" s="46">
        <f t="shared" si="33"/>
        <v>284042.40000000002</v>
      </c>
      <c r="M71" s="46">
        <f t="shared" si="34"/>
        <v>0</v>
      </c>
      <c r="N71" s="46">
        <f t="shared" si="35"/>
        <v>0</v>
      </c>
      <c r="O71" s="46">
        <f t="shared" si="6"/>
        <v>284042.40000000002</v>
      </c>
      <c r="P71" s="46">
        <f t="shared" si="7"/>
        <v>284042.40000000002</v>
      </c>
      <c r="Q71" s="46">
        <f t="shared" si="7"/>
        <v>284042.40000000002</v>
      </c>
    </row>
    <row r="72" spans="1:17" ht="15" hidden="1">
      <c r="A72" s="44" t="s">
        <v>51</v>
      </c>
      <c r="B72" s="52"/>
      <c r="C72" s="52"/>
      <c r="D72" s="44" t="s">
        <v>20</v>
      </c>
      <c r="E72" s="44" t="s">
        <v>64</v>
      </c>
      <c r="F72" s="44" t="s">
        <v>64</v>
      </c>
      <c r="G72" s="44" t="s">
        <v>64</v>
      </c>
      <c r="H72" s="46"/>
      <c r="I72" s="46"/>
      <c r="J72" s="46"/>
      <c r="K72" s="46">
        <f t="shared" si="2"/>
        <v>0</v>
      </c>
      <c r="L72" s="46">
        <f t="shared" si="3"/>
        <v>0</v>
      </c>
      <c r="M72" s="46">
        <f t="shared" si="4"/>
        <v>0</v>
      </c>
      <c r="N72" s="46">
        <f t="shared" si="5"/>
        <v>0</v>
      </c>
      <c r="O72" s="46">
        <f t="shared" si="6"/>
        <v>0</v>
      </c>
      <c r="P72" s="46">
        <f t="shared" si="7"/>
        <v>0</v>
      </c>
      <c r="Q72" s="46">
        <f t="shared" si="7"/>
        <v>0</v>
      </c>
    </row>
    <row r="73" spans="1:17" ht="75" hidden="1">
      <c r="A73" s="42" t="s">
        <v>77</v>
      </c>
      <c r="B73" s="52"/>
      <c r="C73" s="52"/>
      <c r="D73" s="50" t="s">
        <v>20</v>
      </c>
      <c r="E73" s="44" t="s">
        <v>64</v>
      </c>
      <c r="F73" s="44" t="s">
        <v>64</v>
      </c>
      <c r="G73" s="44" t="s">
        <v>64</v>
      </c>
      <c r="H73" s="46"/>
      <c r="I73" s="46"/>
      <c r="J73" s="46" t="s">
        <v>22</v>
      </c>
      <c r="K73" s="46">
        <f t="shared" si="2"/>
        <v>0</v>
      </c>
      <c r="L73" s="46">
        <f t="shared" si="3"/>
        <v>0</v>
      </c>
      <c r="M73" s="46">
        <f t="shared" si="4"/>
        <v>0</v>
      </c>
      <c r="N73" s="46">
        <f t="shared" si="5"/>
        <v>0</v>
      </c>
      <c r="O73" s="46">
        <f t="shared" si="6"/>
        <v>0</v>
      </c>
      <c r="P73" s="46">
        <f t="shared" si="7"/>
        <v>0</v>
      </c>
      <c r="Q73" s="46">
        <f t="shared" si="7"/>
        <v>0</v>
      </c>
    </row>
    <row r="74" spans="1:17" ht="15">
      <c r="A74" s="44"/>
      <c r="B74" s="44" t="s">
        <v>28</v>
      </c>
      <c r="C74" s="44"/>
      <c r="D74" s="44" t="s">
        <v>20</v>
      </c>
      <c r="E74" s="44" t="s">
        <v>64</v>
      </c>
      <c r="F74" s="44" t="s">
        <v>64</v>
      </c>
      <c r="G74" s="44" t="s">
        <v>64</v>
      </c>
      <c r="H74" s="46" t="s">
        <v>23</v>
      </c>
      <c r="I74" s="46"/>
      <c r="J74" s="46">
        <v>25992.31</v>
      </c>
      <c r="K74" s="46">
        <f t="shared" si="2"/>
        <v>25992.31</v>
      </c>
      <c r="L74" s="46">
        <f t="shared" si="3"/>
        <v>0</v>
      </c>
      <c r="M74" s="46">
        <f t="shared" si="4"/>
        <v>0</v>
      </c>
      <c r="N74" s="46">
        <f t="shared" si="5"/>
        <v>6108192.8500000006</v>
      </c>
      <c r="O74" s="46">
        <f t="shared" si="6"/>
        <v>6108192.8500000006</v>
      </c>
      <c r="P74" s="46">
        <f t="shared" si="7"/>
        <v>6108192.8500000006</v>
      </c>
      <c r="Q74" s="46">
        <f t="shared" si="7"/>
        <v>6108192.8500000006</v>
      </c>
    </row>
    <row r="75" spans="1:17" ht="15">
      <c r="A75" s="44" t="s">
        <v>65</v>
      </c>
      <c r="B75" s="52"/>
      <c r="C75" s="52"/>
      <c r="D75" s="52"/>
      <c r="E75" s="48"/>
      <c r="F75" s="48"/>
      <c r="G75" s="48"/>
      <c r="H75" s="46"/>
      <c r="I75" s="46"/>
      <c r="J75" s="46"/>
      <c r="K75" s="46">
        <f t="shared" si="2"/>
        <v>0</v>
      </c>
      <c r="L75" s="46">
        <f>L76+L81</f>
        <v>4885902.43</v>
      </c>
      <c r="M75" s="46">
        <f t="shared" ref="M75:N75" si="36">M76+M81</f>
        <v>1646682.7999999998</v>
      </c>
      <c r="N75" s="46">
        <f t="shared" si="36"/>
        <v>7434840</v>
      </c>
      <c r="O75" s="46">
        <f t="shared" si="6"/>
        <v>13967425.23</v>
      </c>
      <c r="P75" s="46">
        <f t="shared" si="7"/>
        <v>13967425.23</v>
      </c>
      <c r="Q75" s="46">
        <f t="shared" si="7"/>
        <v>13967425.23</v>
      </c>
    </row>
    <row r="76" spans="1:17" ht="85.5">
      <c r="A76" s="42"/>
      <c r="B76" s="47" t="s">
        <v>76</v>
      </c>
      <c r="C76" s="47"/>
      <c r="D76" s="52"/>
      <c r="E76" s="48"/>
      <c r="F76" s="48"/>
      <c r="G76" s="48"/>
      <c r="H76" s="46"/>
      <c r="I76" s="46"/>
      <c r="J76" s="46"/>
      <c r="K76" s="46">
        <f t="shared" ref="K76:K95" si="37">H76+I76+J76</f>
        <v>0</v>
      </c>
      <c r="L76" s="46">
        <f>L77+L78</f>
        <v>4885902.43</v>
      </c>
      <c r="M76" s="46">
        <f t="shared" ref="M76:N76" si="38">M77+M78</f>
        <v>1646682.7999999998</v>
      </c>
      <c r="N76" s="46">
        <f t="shared" si="38"/>
        <v>3795916.6</v>
      </c>
      <c r="O76" s="46">
        <f t="shared" ref="O76:O95" si="39">L76+M76+N76</f>
        <v>10328501.83</v>
      </c>
      <c r="P76" s="46">
        <f t="shared" ref="P76:Q95" si="40">O76</f>
        <v>10328501.83</v>
      </c>
      <c r="Q76" s="46">
        <f t="shared" si="40"/>
        <v>10328501.83</v>
      </c>
    </row>
    <row r="77" spans="1:17" ht="105">
      <c r="A77" s="42"/>
      <c r="B77" s="44" t="s">
        <v>19</v>
      </c>
      <c r="C77" s="42" t="s">
        <v>0</v>
      </c>
      <c r="D77" s="44" t="s">
        <v>20</v>
      </c>
      <c r="E77" s="44" t="s">
        <v>66</v>
      </c>
      <c r="F77" s="44" t="s">
        <v>66</v>
      </c>
      <c r="G77" s="44" t="s">
        <v>66</v>
      </c>
      <c r="H77" s="46">
        <v>41608.51</v>
      </c>
      <c r="I77" s="46">
        <v>11762.02</v>
      </c>
      <c r="J77" s="46">
        <v>27113.69</v>
      </c>
      <c r="K77" s="46">
        <f t="shared" si="37"/>
        <v>80484.22</v>
      </c>
      <c r="L77" s="46">
        <f>E77*H77</f>
        <v>1289863.81</v>
      </c>
      <c r="M77" s="46">
        <f>E77*I77</f>
        <v>364622.62</v>
      </c>
      <c r="N77" s="46">
        <f>E77*J77</f>
        <v>840524.39</v>
      </c>
      <c r="O77" s="46">
        <f t="shared" si="39"/>
        <v>2495010.8200000003</v>
      </c>
      <c r="P77" s="46">
        <f t="shared" si="40"/>
        <v>2495010.8200000003</v>
      </c>
      <c r="Q77" s="46">
        <f t="shared" si="40"/>
        <v>2495010.8200000003</v>
      </c>
    </row>
    <row r="78" spans="1:17" ht="15">
      <c r="A78" s="49"/>
      <c r="B78" s="44" t="s">
        <v>24</v>
      </c>
      <c r="C78" s="44"/>
      <c r="D78" s="44" t="s">
        <v>20</v>
      </c>
      <c r="E78" s="44" t="s">
        <v>55</v>
      </c>
      <c r="F78" s="44" t="s">
        <v>55</v>
      </c>
      <c r="G78" s="44" t="s">
        <v>55</v>
      </c>
      <c r="H78" s="46">
        <v>32991.18</v>
      </c>
      <c r="I78" s="46">
        <v>11762.02</v>
      </c>
      <c r="J78" s="46">
        <v>27113.69</v>
      </c>
      <c r="K78" s="46">
        <f t="shared" si="37"/>
        <v>71866.89</v>
      </c>
      <c r="L78" s="46">
        <f t="shared" ref="L78:L81" si="41">E78*H78</f>
        <v>3596038.62</v>
      </c>
      <c r="M78" s="46">
        <f>E78*I78</f>
        <v>1282060.18</v>
      </c>
      <c r="N78" s="46">
        <f>E78*J78</f>
        <v>2955392.21</v>
      </c>
      <c r="O78" s="46">
        <f t="shared" si="39"/>
        <v>7833491.0099999998</v>
      </c>
      <c r="P78" s="46">
        <f t="shared" si="40"/>
        <v>7833491.0099999998</v>
      </c>
      <c r="Q78" s="46">
        <f t="shared" si="40"/>
        <v>7833491.0099999998</v>
      </c>
    </row>
    <row r="79" spans="1:17" ht="15" hidden="1">
      <c r="A79" s="44" t="s">
        <v>51</v>
      </c>
      <c r="B79" s="52"/>
      <c r="C79" s="52"/>
      <c r="D79" s="44" t="s">
        <v>20</v>
      </c>
      <c r="E79" s="44" t="s">
        <v>67</v>
      </c>
      <c r="F79" s="44" t="s">
        <v>67</v>
      </c>
      <c r="G79" s="44" t="s">
        <v>67</v>
      </c>
      <c r="H79" s="46"/>
      <c r="I79" s="46">
        <v>11762.02</v>
      </c>
      <c r="J79" s="46"/>
      <c r="K79" s="46">
        <f t="shared" si="37"/>
        <v>11762.02</v>
      </c>
      <c r="L79" s="46">
        <f t="shared" si="41"/>
        <v>0</v>
      </c>
      <c r="M79" s="46">
        <f t="shared" ref="M79:M95" si="42">F79*I79</f>
        <v>1646682.8</v>
      </c>
      <c r="N79" s="46">
        <f t="shared" ref="N79:N95" si="43">G79*J79</f>
        <v>0</v>
      </c>
      <c r="O79" s="46">
        <f t="shared" si="39"/>
        <v>1646682.8</v>
      </c>
      <c r="P79" s="46">
        <f t="shared" si="40"/>
        <v>1646682.8</v>
      </c>
      <c r="Q79" s="46">
        <f t="shared" si="40"/>
        <v>1646682.8</v>
      </c>
    </row>
    <row r="80" spans="1:17" ht="75" hidden="1">
      <c r="A80" s="42" t="s">
        <v>77</v>
      </c>
      <c r="B80" s="52"/>
      <c r="C80" s="52"/>
      <c r="D80" s="44" t="s">
        <v>20</v>
      </c>
      <c r="E80" s="44" t="s">
        <v>67</v>
      </c>
      <c r="F80" s="44" t="s">
        <v>67</v>
      </c>
      <c r="G80" s="44" t="s">
        <v>67</v>
      </c>
      <c r="H80" s="46"/>
      <c r="I80" s="46"/>
      <c r="J80" s="46" t="s">
        <v>22</v>
      </c>
      <c r="K80" s="46">
        <f t="shared" si="37"/>
        <v>0</v>
      </c>
      <c r="L80" s="46">
        <f t="shared" si="41"/>
        <v>0</v>
      </c>
      <c r="M80" s="46">
        <f t="shared" si="42"/>
        <v>0</v>
      </c>
      <c r="N80" s="46">
        <f t="shared" si="43"/>
        <v>0</v>
      </c>
      <c r="O80" s="46">
        <f t="shared" si="39"/>
        <v>0</v>
      </c>
      <c r="P80" s="46">
        <f t="shared" si="40"/>
        <v>0</v>
      </c>
      <c r="Q80" s="46">
        <f t="shared" si="40"/>
        <v>0</v>
      </c>
    </row>
    <row r="81" spans="1:17" ht="15">
      <c r="A81" s="44"/>
      <c r="B81" s="44" t="s">
        <v>28</v>
      </c>
      <c r="C81" s="44"/>
      <c r="D81" s="44" t="s">
        <v>20</v>
      </c>
      <c r="E81" s="44" t="s">
        <v>67</v>
      </c>
      <c r="F81" s="44" t="s">
        <v>67</v>
      </c>
      <c r="G81" s="44" t="s">
        <v>67</v>
      </c>
      <c r="H81" s="46" t="s">
        <v>23</v>
      </c>
      <c r="I81" s="46"/>
      <c r="J81" s="46">
        <v>25992.31</v>
      </c>
      <c r="K81" s="46">
        <f t="shared" si="37"/>
        <v>25992.31</v>
      </c>
      <c r="L81" s="46">
        <f t="shared" si="41"/>
        <v>0</v>
      </c>
      <c r="M81" s="46">
        <f t="shared" si="42"/>
        <v>0</v>
      </c>
      <c r="N81" s="46">
        <f t="shared" si="43"/>
        <v>3638923.4000000004</v>
      </c>
      <c r="O81" s="46">
        <f t="shared" si="39"/>
        <v>3638923.4000000004</v>
      </c>
      <c r="P81" s="46">
        <f t="shared" si="40"/>
        <v>3638923.4000000004</v>
      </c>
      <c r="Q81" s="46">
        <f t="shared" si="40"/>
        <v>3638923.4000000004</v>
      </c>
    </row>
    <row r="82" spans="1:17" ht="15">
      <c r="A82" s="44" t="s">
        <v>68</v>
      </c>
      <c r="B82" s="52"/>
      <c r="C82" s="52"/>
      <c r="D82" s="52"/>
      <c r="E82" s="48"/>
      <c r="F82" s="48"/>
      <c r="G82" s="48"/>
      <c r="H82" s="46"/>
      <c r="I82" s="46"/>
      <c r="J82" s="46"/>
      <c r="K82" s="46">
        <f t="shared" si="37"/>
        <v>0</v>
      </c>
      <c r="L82" s="46">
        <f>L83+L88</f>
        <v>4860050.4400000004</v>
      </c>
      <c r="M82" s="46">
        <f t="shared" ref="M82:N82" si="44">M83+M88</f>
        <v>1646682.8</v>
      </c>
      <c r="N82" s="46">
        <f t="shared" si="44"/>
        <v>7434840</v>
      </c>
      <c r="O82" s="46">
        <f t="shared" si="39"/>
        <v>13941573.24</v>
      </c>
      <c r="P82" s="46">
        <f t="shared" si="40"/>
        <v>13941573.24</v>
      </c>
      <c r="Q82" s="46">
        <f t="shared" si="40"/>
        <v>13941573.24</v>
      </c>
    </row>
    <row r="83" spans="1:17" ht="85.5">
      <c r="A83" s="42"/>
      <c r="B83" s="47" t="s">
        <v>76</v>
      </c>
      <c r="C83" s="47"/>
      <c r="D83" s="52"/>
      <c r="E83" s="48"/>
      <c r="F83" s="48"/>
      <c r="G83" s="48"/>
      <c r="H83" s="46"/>
      <c r="I83" s="46"/>
      <c r="J83" s="46"/>
      <c r="K83" s="46">
        <f t="shared" si="37"/>
        <v>0</v>
      </c>
      <c r="L83" s="46">
        <f>L84+L85</f>
        <v>4860050.4400000004</v>
      </c>
      <c r="M83" s="46">
        <f t="shared" ref="M83:N83" si="45">M84+M85</f>
        <v>1646682.8</v>
      </c>
      <c r="N83" s="46">
        <f t="shared" si="45"/>
        <v>3795916.5999999996</v>
      </c>
      <c r="O83" s="46">
        <f t="shared" si="39"/>
        <v>10302649.84</v>
      </c>
      <c r="P83" s="46">
        <f t="shared" si="40"/>
        <v>10302649.84</v>
      </c>
      <c r="Q83" s="46">
        <f t="shared" si="40"/>
        <v>10302649.84</v>
      </c>
    </row>
    <row r="84" spans="1:17" ht="105">
      <c r="A84" s="42"/>
      <c r="B84" s="44" t="s">
        <v>19</v>
      </c>
      <c r="C84" s="42" t="s">
        <v>0</v>
      </c>
      <c r="D84" s="50" t="s">
        <v>20</v>
      </c>
      <c r="E84" s="44" t="s">
        <v>69</v>
      </c>
      <c r="F84" s="44" t="s">
        <v>69</v>
      </c>
      <c r="G84" s="44" t="s">
        <v>69</v>
      </c>
      <c r="H84" s="46">
        <v>41608.51</v>
      </c>
      <c r="I84" s="46">
        <v>11762.02</v>
      </c>
      <c r="J84" s="46">
        <v>27113.69</v>
      </c>
      <c r="K84" s="46">
        <f t="shared" si="37"/>
        <v>80484.22</v>
      </c>
      <c r="L84" s="46">
        <f>E84*H84</f>
        <v>1165038.28</v>
      </c>
      <c r="M84" s="46">
        <f>E84*I84</f>
        <v>329336.56</v>
      </c>
      <c r="N84" s="46">
        <f>E84*J84</f>
        <v>759183.32</v>
      </c>
      <c r="O84" s="46">
        <f t="shared" si="39"/>
        <v>2253558.16</v>
      </c>
      <c r="P84" s="46">
        <f t="shared" si="40"/>
        <v>2253558.16</v>
      </c>
      <c r="Q84" s="46">
        <f t="shared" si="40"/>
        <v>2253558.16</v>
      </c>
    </row>
    <row r="85" spans="1:17" ht="15">
      <c r="A85" s="49"/>
      <c r="B85" s="44" t="s">
        <v>24</v>
      </c>
      <c r="C85" s="44"/>
      <c r="D85" s="44" t="s">
        <v>20</v>
      </c>
      <c r="E85" s="44" t="s">
        <v>70</v>
      </c>
      <c r="F85" s="44" t="s">
        <v>70</v>
      </c>
      <c r="G85" s="44" t="s">
        <v>70</v>
      </c>
      <c r="H85" s="46">
        <v>32991.18</v>
      </c>
      <c r="I85" s="46">
        <v>11762.02</v>
      </c>
      <c r="J85" s="46">
        <v>27113.69</v>
      </c>
      <c r="K85" s="46">
        <f t="shared" si="37"/>
        <v>71866.89</v>
      </c>
      <c r="L85" s="46">
        <f>E85*H85</f>
        <v>3695012.16</v>
      </c>
      <c r="M85" s="46">
        <f>E85*I85</f>
        <v>1317346.24</v>
      </c>
      <c r="N85" s="46">
        <f t="shared" ref="N85:N87" si="46">E85*J85</f>
        <v>3036733.28</v>
      </c>
      <c r="O85" s="46">
        <f t="shared" si="39"/>
        <v>8049091.6799999997</v>
      </c>
      <c r="P85" s="46">
        <f t="shared" si="40"/>
        <v>8049091.6799999997</v>
      </c>
      <c r="Q85" s="46">
        <f t="shared" si="40"/>
        <v>8049091.6799999997</v>
      </c>
    </row>
    <row r="86" spans="1:17" ht="15" hidden="1">
      <c r="A86" s="44" t="s">
        <v>51</v>
      </c>
      <c r="B86" s="52"/>
      <c r="C86" s="52"/>
      <c r="D86" s="52"/>
      <c r="E86" s="44" t="s">
        <v>67</v>
      </c>
      <c r="F86" s="44" t="s">
        <v>67</v>
      </c>
      <c r="G86" s="44" t="s">
        <v>67</v>
      </c>
      <c r="H86" s="46"/>
      <c r="I86" s="46"/>
      <c r="J86" s="46"/>
      <c r="K86" s="46">
        <f t="shared" si="37"/>
        <v>0</v>
      </c>
      <c r="L86" s="46">
        <f t="shared" ref="L86:L95" si="47">E86*H86</f>
        <v>0</v>
      </c>
      <c r="M86" s="46">
        <f t="shared" si="42"/>
        <v>0</v>
      </c>
      <c r="N86" s="46">
        <f t="shared" si="46"/>
        <v>0</v>
      </c>
      <c r="O86" s="46">
        <f t="shared" si="39"/>
        <v>0</v>
      </c>
      <c r="P86" s="46">
        <f t="shared" si="40"/>
        <v>0</v>
      </c>
      <c r="Q86" s="46">
        <f t="shared" si="40"/>
        <v>0</v>
      </c>
    </row>
    <row r="87" spans="1:17" ht="75" hidden="1">
      <c r="A87" s="42" t="s">
        <v>77</v>
      </c>
      <c r="B87" s="52"/>
      <c r="C87" s="52"/>
      <c r="D87" s="52"/>
      <c r="E87" s="44" t="s">
        <v>67</v>
      </c>
      <c r="F87" s="44" t="s">
        <v>67</v>
      </c>
      <c r="G87" s="44" t="s">
        <v>67</v>
      </c>
      <c r="H87" s="46"/>
      <c r="I87" s="46"/>
      <c r="J87" s="46" t="s">
        <v>22</v>
      </c>
      <c r="K87" s="46">
        <f t="shared" si="37"/>
        <v>0</v>
      </c>
      <c r="L87" s="46">
        <f t="shared" si="47"/>
        <v>0</v>
      </c>
      <c r="M87" s="46">
        <f t="shared" si="42"/>
        <v>0</v>
      </c>
      <c r="N87" s="46">
        <f t="shared" si="46"/>
        <v>0</v>
      </c>
      <c r="O87" s="46">
        <f t="shared" si="39"/>
        <v>0</v>
      </c>
      <c r="P87" s="46">
        <f t="shared" si="40"/>
        <v>0</v>
      </c>
      <c r="Q87" s="46">
        <f t="shared" si="40"/>
        <v>0</v>
      </c>
    </row>
    <row r="88" spans="1:17" ht="15">
      <c r="A88" s="44"/>
      <c r="B88" s="44" t="s">
        <v>28</v>
      </c>
      <c r="C88" s="44"/>
      <c r="D88" s="44" t="s">
        <v>20</v>
      </c>
      <c r="E88" s="44" t="s">
        <v>67</v>
      </c>
      <c r="F88" s="44" t="s">
        <v>67</v>
      </c>
      <c r="G88" s="44" t="s">
        <v>67</v>
      </c>
      <c r="H88" s="46" t="s">
        <v>23</v>
      </c>
      <c r="I88" s="46"/>
      <c r="J88" s="46">
        <v>25992.31</v>
      </c>
      <c r="K88" s="46">
        <f t="shared" si="37"/>
        <v>25992.31</v>
      </c>
      <c r="L88" s="46">
        <f t="shared" si="47"/>
        <v>0</v>
      </c>
      <c r="M88" s="46">
        <f t="shared" si="42"/>
        <v>0</v>
      </c>
      <c r="N88" s="46">
        <f t="shared" si="43"/>
        <v>3638923.4000000004</v>
      </c>
      <c r="O88" s="46">
        <f t="shared" si="39"/>
        <v>3638923.4000000004</v>
      </c>
      <c r="P88" s="46">
        <f t="shared" si="40"/>
        <v>3638923.4000000004</v>
      </c>
      <c r="Q88" s="46">
        <f t="shared" si="40"/>
        <v>3638923.4000000004</v>
      </c>
    </row>
    <row r="89" spans="1:17" ht="15">
      <c r="A89" s="44" t="s">
        <v>71</v>
      </c>
      <c r="B89" s="52"/>
      <c r="C89" s="52"/>
      <c r="D89" s="52"/>
      <c r="E89" s="48"/>
      <c r="F89" s="48"/>
      <c r="G89" s="48"/>
      <c r="H89" s="46"/>
      <c r="I89" s="46"/>
      <c r="J89" s="46"/>
      <c r="K89" s="46">
        <f t="shared" si="37"/>
        <v>0</v>
      </c>
      <c r="L89" s="46">
        <f>L90+L95</f>
        <v>8487853.6099999994</v>
      </c>
      <c r="M89" s="46">
        <f t="shared" ref="M89:N89" si="48">M90+M95</f>
        <v>2881694.9</v>
      </c>
      <c r="N89" s="46">
        <f t="shared" si="48"/>
        <v>13010970</v>
      </c>
      <c r="O89" s="46">
        <f t="shared" si="39"/>
        <v>24380518.509999998</v>
      </c>
      <c r="P89" s="46">
        <f t="shared" si="40"/>
        <v>24380518.509999998</v>
      </c>
      <c r="Q89" s="46">
        <f t="shared" si="40"/>
        <v>24380518.509999998</v>
      </c>
    </row>
    <row r="90" spans="1:17" ht="85.5">
      <c r="A90" s="42"/>
      <c r="B90" s="47" t="s">
        <v>76</v>
      </c>
      <c r="C90" s="47"/>
      <c r="D90" s="52"/>
      <c r="E90" s="48"/>
      <c r="F90" s="48"/>
      <c r="G90" s="48"/>
      <c r="H90" s="46"/>
      <c r="I90" s="46"/>
      <c r="J90" s="46"/>
      <c r="K90" s="46">
        <f t="shared" si="37"/>
        <v>0</v>
      </c>
      <c r="L90" s="46">
        <f>L91+L92</f>
        <v>8487853.6099999994</v>
      </c>
      <c r="M90" s="46">
        <f t="shared" ref="M90:N90" si="49">M91+M92</f>
        <v>2881694.9</v>
      </c>
      <c r="N90" s="46">
        <f t="shared" si="49"/>
        <v>6642854.0499999998</v>
      </c>
      <c r="O90" s="46">
        <f t="shared" si="39"/>
        <v>18012402.559999999</v>
      </c>
      <c r="P90" s="46">
        <f t="shared" si="40"/>
        <v>18012402.559999999</v>
      </c>
      <c r="Q90" s="46">
        <f t="shared" si="40"/>
        <v>18012402.559999999</v>
      </c>
    </row>
    <row r="91" spans="1:17" ht="105">
      <c r="A91" s="42"/>
      <c r="B91" s="44" t="s">
        <v>19</v>
      </c>
      <c r="C91" s="42" t="s">
        <v>0</v>
      </c>
      <c r="D91" s="50" t="s">
        <v>20</v>
      </c>
      <c r="E91" s="44" t="s">
        <v>72</v>
      </c>
      <c r="F91" s="44" t="s">
        <v>72</v>
      </c>
      <c r="G91" s="44" t="s">
        <v>72</v>
      </c>
      <c r="H91" s="46">
        <v>41608.51</v>
      </c>
      <c r="I91" s="46">
        <v>11762.02</v>
      </c>
      <c r="J91" s="46">
        <v>27113.69</v>
      </c>
      <c r="K91" s="46">
        <f t="shared" si="37"/>
        <v>80484.22</v>
      </c>
      <c r="L91" s="46">
        <f>E91*H91</f>
        <v>1955599.9700000002</v>
      </c>
      <c r="M91" s="46">
        <f>E91*I91</f>
        <v>552814.94000000006</v>
      </c>
      <c r="N91" s="46">
        <f>E91*J91</f>
        <v>1274343.43</v>
      </c>
      <c r="O91" s="46">
        <f t="shared" si="39"/>
        <v>3782758.34</v>
      </c>
      <c r="P91" s="46">
        <f t="shared" si="40"/>
        <v>3782758.34</v>
      </c>
      <c r="Q91" s="46">
        <f t="shared" si="40"/>
        <v>3782758.34</v>
      </c>
    </row>
    <row r="92" spans="1:17" ht="15">
      <c r="A92" s="49"/>
      <c r="B92" s="44" t="s">
        <v>24</v>
      </c>
      <c r="C92" s="44"/>
      <c r="D92" s="44" t="s">
        <v>20</v>
      </c>
      <c r="E92" s="44" t="s">
        <v>73</v>
      </c>
      <c r="F92" s="44" t="s">
        <v>73</v>
      </c>
      <c r="G92" s="44" t="s">
        <v>73</v>
      </c>
      <c r="H92" s="46">
        <v>32991.18</v>
      </c>
      <c r="I92" s="46">
        <v>11762.02</v>
      </c>
      <c r="J92" s="46">
        <v>27113.69</v>
      </c>
      <c r="K92" s="46">
        <f t="shared" si="37"/>
        <v>71866.89</v>
      </c>
      <c r="L92" s="46">
        <f>E92*H92</f>
        <v>6532253.6399999997</v>
      </c>
      <c r="M92" s="46">
        <f>E92*I92</f>
        <v>2328879.96</v>
      </c>
      <c r="N92" s="46">
        <f>E92*J92</f>
        <v>5368510.62</v>
      </c>
      <c r="O92" s="46">
        <f t="shared" si="39"/>
        <v>14229644.219999999</v>
      </c>
      <c r="P92" s="46">
        <f t="shared" si="40"/>
        <v>14229644.219999999</v>
      </c>
      <c r="Q92" s="46">
        <f t="shared" si="40"/>
        <v>14229644.219999999</v>
      </c>
    </row>
    <row r="93" spans="1:17" ht="15" hidden="1">
      <c r="A93" s="44" t="s">
        <v>26</v>
      </c>
      <c r="B93" s="52"/>
      <c r="C93" s="52"/>
      <c r="D93" s="44" t="s">
        <v>20</v>
      </c>
      <c r="E93" s="44" t="s">
        <v>74</v>
      </c>
      <c r="F93" s="44" t="s">
        <v>74</v>
      </c>
      <c r="G93" s="44" t="s">
        <v>74</v>
      </c>
      <c r="H93" s="46"/>
      <c r="I93" s="46"/>
      <c r="J93" s="46"/>
      <c r="K93" s="46">
        <f t="shared" si="37"/>
        <v>0</v>
      </c>
      <c r="L93" s="46">
        <f t="shared" si="47"/>
        <v>0</v>
      </c>
      <c r="M93" s="46">
        <f t="shared" si="42"/>
        <v>0</v>
      </c>
      <c r="N93" s="46">
        <f t="shared" si="43"/>
        <v>0</v>
      </c>
      <c r="O93" s="46">
        <f t="shared" si="39"/>
        <v>0</v>
      </c>
      <c r="P93" s="46">
        <f t="shared" si="40"/>
        <v>0</v>
      </c>
      <c r="Q93" s="46">
        <f t="shared" si="40"/>
        <v>0</v>
      </c>
    </row>
    <row r="94" spans="1:17" ht="75" hidden="1">
      <c r="A94" s="42" t="s">
        <v>77</v>
      </c>
      <c r="B94" s="52"/>
      <c r="C94" s="52"/>
      <c r="D94" s="50" t="s">
        <v>20</v>
      </c>
      <c r="E94" s="44" t="s">
        <v>74</v>
      </c>
      <c r="F94" s="44" t="s">
        <v>74</v>
      </c>
      <c r="G94" s="44" t="s">
        <v>74</v>
      </c>
      <c r="H94" s="46"/>
      <c r="I94" s="46"/>
      <c r="J94" s="46" t="s">
        <v>22</v>
      </c>
      <c r="K94" s="46">
        <f t="shared" si="37"/>
        <v>0</v>
      </c>
      <c r="L94" s="46">
        <f t="shared" si="47"/>
        <v>0</v>
      </c>
      <c r="M94" s="46">
        <f t="shared" si="42"/>
        <v>0</v>
      </c>
      <c r="N94" s="46">
        <f t="shared" si="43"/>
        <v>0</v>
      </c>
      <c r="O94" s="46">
        <f t="shared" si="39"/>
        <v>0</v>
      </c>
      <c r="P94" s="46">
        <f t="shared" si="40"/>
        <v>0</v>
      </c>
      <c r="Q94" s="46">
        <f t="shared" si="40"/>
        <v>0</v>
      </c>
    </row>
    <row r="95" spans="1:17" ht="15">
      <c r="A95" s="44"/>
      <c r="B95" s="48" t="s">
        <v>75</v>
      </c>
      <c r="C95" s="48"/>
      <c r="D95" s="44" t="s">
        <v>20</v>
      </c>
      <c r="E95" s="44" t="s">
        <v>74</v>
      </c>
      <c r="F95" s="44" t="s">
        <v>74</v>
      </c>
      <c r="G95" s="44" t="s">
        <v>74</v>
      </c>
      <c r="H95" s="46" t="s">
        <v>23</v>
      </c>
      <c r="I95" s="46"/>
      <c r="J95" s="46">
        <v>25992.31</v>
      </c>
      <c r="K95" s="46">
        <f t="shared" si="37"/>
        <v>25992.31</v>
      </c>
      <c r="L95" s="46">
        <f t="shared" si="47"/>
        <v>0</v>
      </c>
      <c r="M95" s="46">
        <f t="shared" si="42"/>
        <v>0</v>
      </c>
      <c r="N95" s="46">
        <f t="shared" si="43"/>
        <v>6368115.9500000002</v>
      </c>
      <c r="O95" s="46">
        <f t="shared" si="39"/>
        <v>6368115.9500000002</v>
      </c>
      <c r="P95" s="46">
        <f t="shared" si="40"/>
        <v>6368115.9500000002</v>
      </c>
      <c r="Q95" s="46">
        <f t="shared" si="40"/>
        <v>6368115.9500000002</v>
      </c>
    </row>
    <row r="96" spans="1:17" ht="36.75" customHeight="1">
      <c r="A96" s="111" t="s">
        <v>154</v>
      </c>
      <c r="B96" s="111"/>
      <c r="C96" s="111"/>
      <c r="D96" s="44"/>
      <c r="E96" s="44"/>
      <c r="F96" s="44"/>
      <c r="G96" s="44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1:17" ht="30">
      <c r="A97" s="110" t="s">
        <v>3</v>
      </c>
      <c r="B97" s="110" t="s">
        <v>86</v>
      </c>
      <c r="C97" s="7" t="s">
        <v>87</v>
      </c>
      <c r="D97" s="110" t="s">
        <v>4</v>
      </c>
      <c r="E97" s="110" t="s">
        <v>5</v>
      </c>
      <c r="F97" s="110"/>
      <c r="G97" s="110"/>
      <c r="H97" s="110" t="s">
        <v>6</v>
      </c>
      <c r="I97" s="110"/>
      <c r="J97" s="110"/>
      <c r="K97" s="110"/>
      <c r="L97" s="110" t="s">
        <v>7</v>
      </c>
      <c r="M97" s="110"/>
      <c r="N97" s="110"/>
      <c r="O97" s="110"/>
      <c r="P97" s="110"/>
      <c r="Q97" s="110"/>
    </row>
    <row r="98" spans="1:17" ht="120">
      <c r="A98" s="110"/>
      <c r="B98" s="110"/>
      <c r="C98" s="7"/>
      <c r="D98" s="110"/>
      <c r="E98" s="7" t="s">
        <v>8</v>
      </c>
      <c r="F98" s="7" t="s">
        <v>9</v>
      </c>
      <c r="G98" s="7" t="s">
        <v>10</v>
      </c>
      <c r="H98" s="7" t="s">
        <v>88</v>
      </c>
      <c r="I98" s="7" t="s">
        <v>89</v>
      </c>
      <c r="J98" s="7" t="s">
        <v>90</v>
      </c>
      <c r="K98" s="7" t="s">
        <v>91</v>
      </c>
      <c r="L98" s="7" t="s">
        <v>92</v>
      </c>
      <c r="M98" s="7" t="s">
        <v>93</v>
      </c>
      <c r="N98" s="7" t="s">
        <v>94</v>
      </c>
      <c r="O98" s="7" t="s">
        <v>95</v>
      </c>
      <c r="P98" s="7" t="s">
        <v>96</v>
      </c>
      <c r="Q98" s="7" t="s">
        <v>97</v>
      </c>
    </row>
    <row r="99" spans="1:17" ht="45">
      <c r="A99" s="8" t="s">
        <v>13</v>
      </c>
      <c r="B99" s="8" t="s">
        <v>13</v>
      </c>
      <c r="C99" s="8"/>
      <c r="D99" s="8" t="s">
        <v>15</v>
      </c>
      <c r="E99" s="8" t="s">
        <v>16</v>
      </c>
      <c r="F99" s="8" t="s">
        <v>16</v>
      </c>
      <c r="G99" s="8" t="s">
        <v>16</v>
      </c>
      <c r="H99" s="7" t="s">
        <v>17</v>
      </c>
      <c r="I99" s="7" t="s">
        <v>17</v>
      </c>
      <c r="J99" s="7" t="s">
        <v>17</v>
      </c>
      <c r="K99" s="7" t="s">
        <v>17</v>
      </c>
      <c r="L99" s="7" t="s">
        <v>17</v>
      </c>
      <c r="M99" s="7" t="s">
        <v>17</v>
      </c>
      <c r="N99" s="7" t="s">
        <v>17</v>
      </c>
      <c r="O99" s="7" t="s">
        <v>17</v>
      </c>
      <c r="P99" s="7" t="s">
        <v>17</v>
      </c>
      <c r="Q99" s="7" t="s">
        <v>17</v>
      </c>
    </row>
    <row r="100" spans="1:17" ht="90">
      <c r="A100" s="106" t="s">
        <v>98</v>
      </c>
      <c r="B100" s="104" t="s">
        <v>99</v>
      </c>
      <c r="C100" s="9" t="s">
        <v>100</v>
      </c>
      <c r="D100" s="10" t="s">
        <v>101</v>
      </c>
      <c r="E100" s="11">
        <v>227</v>
      </c>
      <c r="F100" s="11">
        <v>227</v>
      </c>
      <c r="G100" s="11">
        <v>227</v>
      </c>
      <c r="H100" s="12">
        <f>SUM(I100:K100)</f>
        <v>43059.57</v>
      </c>
      <c r="I100" s="12">
        <f>22328.93+952.08</f>
        <v>23281.010000000002</v>
      </c>
      <c r="J100" s="12">
        <v>3857.41</v>
      </c>
      <c r="K100" s="12">
        <v>15921.15</v>
      </c>
      <c r="L100" s="13">
        <f>SUM(M100:O100)</f>
        <v>9774522.3900000006</v>
      </c>
      <c r="M100" s="13">
        <f>E100*I100</f>
        <v>5284789.2700000005</v>
      </c>
      <c r="N100" s="13">
        <f>E100*J100</f>
        <v>875632.07</v>
      </c>
      <c r="O100" s="14">
        <f>E100*K100</f>
        <v>3614101.05</v>
      </c>
      <c r="P100" s="14">
        <f>F100*H100</f>
        <v>9774522.3900000006</v>
      </c>
      <c r="Q100" s="14">
        <f>G100*H100</f>
        <v>9774522.3900000006</v>
      </c>
    </row>
    <row r="101" spans="1:17" ht="120">
      <c r="A101" s="106"/>
      <c r="B101" s="104"/>
      <c r="C101" s="15" t="s">
        <v>102</v>
      </c>
      <c r="D101" s="16" t="s">
        <v>101</v>
      </c>
      <c r="E101" s="17">
        <v>3</v>
      </c>
      <c r="F101" s="17">
        <v>3</v>
      </c>
      <c r="G101" s="17">
        <v>3</v>
      </c>
      <c r="H101" s="18">
        <v>22724.03</v>
      </c>
      <c r="I101" s="18">
        <v>22724.03</v>
      </c>
      <c r="J101" s="18" t="s">
        <v>103</v>
      </c>
      <c r="K101" s="18" t="s">
        <v>103</v>
      </c>
      <c r="L101" s="13">
        <f>SUM(M101:O101)</f>
        <v>68172.09</v>
      </c>
      <c r="M101" s="13">
        <f>E101*I101</f>
        <v>68172.09</v>
      </c>
      <c r="N101" s="13" t="s">
        <v>104</v>
      </c>
      <c r="O101" s="19" t="s">
        <v>104</v>
      </c>
      <c r="P101" s="14">
        <f t="shared" ref="P101:P164" si="50">F101*H101</f>
        <v>68172.09</v>
      </c>
      <c r="Q101" s="14">
        <f t="shared" ref="Q101:Q164" si="51">G101*H101</f>
        <v>68172.09</v>
      </c>
    </row>
    <row r="102" spans="1:17" ht="120">
      <c r="A102" s="106"/>
      <c r="B102" s="104"/>
      <c r="C102" s="9" t="s">
        <v>105</v>
      </c>
      <c r="D102" s="16" t="s">
        <v>101</v>
      </c>
      <c r="E102" s="11">
        <v>3</v>
      </c>
      <c r="F102" s="11">
        <v>3</v>
      </c>
      <c r="G102" s="11">
        <v>3</v>
      </c>
      <c r="H102" s="18">
        <f>SUM(I102:K102)</f>
        <v>137159.02000000002</v>
      </c>
      <c r="I102" s="18">
        <f>116428.38+952.08</f>
        <v>117380.46</v>
      </c>
      <c r="J102" s="18">
        <v>3857.41</v>
      </c>
      <c r="K102" s="18">
        <v>15921.15</v>
      </c>
      <c r="L102" s="13">
        <f>SUM(M102:O102)</f>
        <v>411477.06</v>
      </c>
      <c r="M102" s="13">
        <f>E102*I102</f>
        <v>352141.38</v>
      </c>
      <c r="N102" s="13">
        <f>E102*J102</f>
        <v>11572.23</v>
      </c>
      <c r="O102" s="20">
        <f>E102*K102</f>
        <v>47763.45</v>
      </c>
      <c r="P102" s="14">
        <f t="shared" si="50"/>
        <v>411477.06000000006</v>
      </c>
      <c r="Q102" s="14">
        <f t="shared" si="51"/>
        <v>411477.06000000006</v>
      </c>
    </row>
    <row r="103" spans="1:17" ht="15">
      <c r="A103" s="106"/>
      <c r="B103" s="104"/>
      <c r="C103" s="21" t="s">
        <v>106</v>
      </c>
      <c r="D103" s="22"/>
      <c r="E103" s="11">
        <f>E100+E102</f>
        <v>230</v>
      </c>
      <c r="F103" s="11">
        <f t="shared" ref="F103:G103" si="52">F100+F102</f>
        <v>230</v>
      </c>
      <c r="G103" s="11">
        <f t="shared" si="52"/>
        <v>230</v>
      </c>
      <c r="H103" s="11" t="s">
        <v>104</v>
      </c>
      <c r="I103" s="11" t="s">
        <v>104</v>
      </c>
      <c r="J103" s="11" t="s">
        <v>104</v>
      </c>
      <c r="K103" s="11" t="s">
        <v>104</v>
      </c>
      <c r="L103" s="11">
        <f t="shared" ref="L103:O103" si="53">SUM(L100:L102)</f>
        <v>10254171.540000001</v>
      </c>
      <c r="M103" s="11">
        <f t="shared" si="53"/>
        <v>5705102.7400000002</v>
      </c>
      <c r="N103" s="11">
        <f t="shared" si="53"/>
        <v>887204.29999999993</v>
      </c>
      <c r="O103" s="11">
        <f t="shared" si="53"/>
        <v>3661864.5</v>
      </c>
      <c r="P103" s="14">
        <f>SUM(P100:P102)</f>
        <v>10254171.540000001</v>
      </c>
      <c r="Q103" s="14">
        <f>SUM(Q100:Q102)</f>
        <v>10254171.540000001</v>
      </c>
    </row>
    <row r="104" spans="1:17" ht="90">
      <c r="A104" s="106"/>
      <c r="B104" s="104" t="s">
        <v>107</v>
      </c>
      <c r="C104" s="9" t="s">
        <v>100</v>
      </c>
      <c r="D104" s="10" t="s">
        <v>101</v>
      </c>
      <c r="E104" s="23">
        <v>227</v>
      </c>
      <c r="F104" s="23">
        <v>227</v>
      </c>
      <c r="G104" s="23">
        <v>227</v>
      </c>
      <c r="H104" s="12">
        <f>SUM(I104:K104)</f>
        <v>54095.340000000004</v>
      </c>
      <c r="I104" s="12">
        <f>33147.58+1169.2</f>
        <v>34316.78</v>
      </c>
      <c r="J104" s="12">
        <v>3857.41</v>
      </c>
      <c r="K104" s="18">
        <v>15921.15</v>
      </c>
      <c r="L104" s="11">
        <f>SUM(M104:O104)</f>
        <v>12279642.18</v>
      </c>
      <c r="M104" s="11">
        <f>E104*I104</f>
        <v>7789909.0599999996</v>
      </c>
      <c r="N104" s="11">
        <f>E104*J104</f>
        <v>875632.07</v>
      </c>
      <c r="O104" s="24">
        <f>E104*K104</f>
        <v>3614101.05</v>
      </c>
      <c r="P104" s="14">
        <f t="shared" si="50"/>
        <v>12279642.180000002</v>
      </c>
      <c r="Q104" s="14">
        <f t="shared" si="51"/>
        <v>12279642.180000002</v>
      </c>
    </row>
    <row r="105" spans="1:17" ht="120">
      <c r="A105" s="106"/>
      <c r="B105" s="104"/>
      <c r="C105" s="15" t="s">
        <v>102</v>
      </c>
      <c r="D105" s="16" t="s">
        <v>101</v>
      </c>
      <c r="E105" s="25">
        <v>1</v>
      </c>
      <c r="F105" s="25">
        <v>1</v>
      </c>
      <c r="G105" s="25">
        <v>1</v>
      </c>
      <c r="H105" s="18">
        <v>22724.03</v>
      </c>
      <c r="I105" s="18">
        <v>22724.03</v>
      </c>
      <c r="J105" s="18" t="s">
        <v>103</v>
      </c>
      <c r="K105" s="18" t="s">
        <v>103</v>
      </c>
      <c r="L105" s="13">
        <f>SUM(M105:O105)</f>
        <v>22724.03</v>
      </c>
      <c r="M105" s="13">
        <f>E105*I105</f>
        <v>22724.03</v>
      </c>
      <c r="N105" s="13" t="s">
        <v>104</v>
      </c>
      <c r="O105" s="19" t="s">
        <v>104</v>
      </c>
      <c r="P105" s="14">
        <f t="shared" si="50"/>
        <v>22724.03</v>
      </c>
      <c r="Q105" s="14">
        <f t="shared" si="51"/>
        <v>22724.03</v>
      </c>
    </row>
    <row r="106" spans="1:17" ht="120">
      <c r="A106" s="106"/>
      <c r="B106" s="104"/>
      <c r="C106" s="9" t="s">
        <v>105</v>
      </c>
      <c r="D106" s="16" t="s">
        <v>101</v>
      </c>
      <c r="E106" s="25"/>
      <c r="F106" s="25"/>
      <c r="G106" s="25"/>
      <c r="H106" s="25"/>
      <c r="I106" s="25"/>
      <c r="J106" s="25"/>
      <c r="K106" s="26"/>
      <c r="L106" s="26"/>
      <c r="M106" s="26"/>
      <c r="N106" s="26"/>
      <c r="O106" s="26"/>
      <c r="P106" s="14">
        <f t="shared" si="50"/>
        <v>0</v>
      </c>
      <c r="Q106" s="14">
        <f t="shared" si="51"/>
        <v>0</v>
      </c>
    </row>
    <row r="107" spans="1:17" ht="15">
      <c r="A107" s="106"/>
      <c r="B107" s="53"/>
      <c r="C107" s="21" t="s">
        <v>106</v>
      </c>
      <c r="D107" s="16"/>
      <c r="E107" s="25">
        <f>E104+E106</f>
        <v>227</v>
      </c>
      <c r="F107" s="25">
        <f t="shared" ref="F107:G107" si="54">F104+F106</f>
        <v>227</v>
      </c>
      <c r="G107" s="25">
        <f t="shared" si="54"/>
        <v>227</v>
      </c>
      <c r="H107" s="25" t="s">
        <v>104</v>
      </c>
      <c r="I107" s="25" t="s">
        <v>104</v>
      </c>
      <c r="J107" s="25" t="s">
        <v>104</v>
      </c>
      <c r="K107" s="25" t="s">
        <v>104</v>
      </c>
      <c r="L107" s="25">
        <f t="shared" ref="L107:Q107" si="55">SUM(L104:L106)</f>
        <v>12302366.209999999</v>
      </c>
      <c r="M107" s="25">
        <f t="shared" si="55"/>
        <v>7812633.0899999999</v>
      </c>
      <c r="N107" s="25">
        <f t="shared" si="55"/>
        <v>875632.07</v>
      </c>
      <c r="O107" s="25">
        <f t="shared" si="55"/>
        <v>3614101.05</v>
      </c>
      <c r="P107" s="25">
        <f t="shared" si="55"/>
        <v>12302366.210000001</v>
      </c>
      <c r="Q107" s="25">
        <f t="shared" si="55"/>
        <v>12302366.210000001</v>
      </c>
    </row>
    <row r="108" spans="1:17" ht="90">
      <c r="A108" s="106"/>
      <c r="B108" s="104" t="s">
        <v>108</v>
      </c>
      <c r="C108" s="9" t="s">
        <v>100</v>
      </c>
      <c r="D108" s="10" t="s">
        <v>101</v>
      </c>
      <c r="E108" s="25">
        <v>43</v>
      </c>
      <c r="F108" s="25">
        <v>43</v>
      </c>
      <c r="G108" s="25">
        <v>43</v>
      </c>
      <c r="H108" s="12">
        <f>SUM(I108:K108)</f>
        <v>60807.1</v>
      </c>
      <c r="I108" s="12">
        <f>39660.87+1367.67</f>
        <v>41028.54</v>
      </c>
      <c r="J108" s="12">
        <v>3857.41</v>
      </c>
      <c r="K108" s="18">
        <v>15921.15</v>
      </c>
      <c r="L108" s="26">
        <f>SUM(M108:O108)</f>
        <v>2614705.2999999998</v>
      </c>
      <c r="M108" s="26">
        <f>E108*I108</f>
        <v>1764227.22</v>
      </c>
      <c r="N108" s="26">
        <f>E108*J108</f>
        <v>165868.63</v>
      </c>
      <c r="O108" s="26">
        <f>E108*K108</f>
        <v>684609.45</v>
      </c>
      <c r="P108" s="14">
        <f t="shared" si="50"/>
        <v>2614705.2999999998</v>
      </c>
      <c r="Q108" s="14">
        <f t="shared" si="51"/>
        <v>2614705.2999999998</v>
      </c>
    </row>
    <row r="109" spans="1:17" ht="120">
      <c r="A109" s="106"/>
      <c r="B109" s="104"/>
      <c r="C109" s="15" t="s">
        <v>102</v>
      </c>
      <c r="D109" s="16" t="s">
        <v>101</v>
      </c>
      <c r="E109" s="25"/>
      <c r="F109" s="25"/>
      <c r="G109" s="25"/>
      <c r="H109" s="18">
        <v>22724.03</v>
      </c>
      <c r="I109" s="18">
        <v>22724.03</v>
      </c>
      <c r="J109" s="18" t="s">
        <v>103</v>
      </c>
      <c r="K109" s="18" t="s">
        <v>103</v>
      </c>
      <c r="L109" s="13">
        <f>SUM(M109:O109)</f>
        <v>0</v>
      </c>
      <c r="M109" s="13">
        <f>E109*I109</f>
        <v>0</v>
      </c>
      <c r="N109" s="13" t="s">
        <v>104</v>
      </c>
      <c r="O109" s="19" t="s">
        <v>104</v>
      </c>
      <c r="P109" s="14">
        <f t="shared" si="50"/>
        <v>0</v>
      </c>
      <c r="Q109" s="14">
        <f t="shared" si="51"/>
        <v>0</v>
      </c>
    </row>
    <row r="110" spans="1:17" ht="120">
      <c r="A110" s="106"/>
      <c r="B110" s="104"/>
      <c r="C110" s="9" t="s">
        <v>105</v>
      </c>
      <c r="D110" s="16" t="s">
        <v>101</v>
      </c>
      <c r="E110" s="25"/>
      <c r="F110" s="25"/>
      <c r="G110" s="25"/>
      <c r="H110" s="25"/>
      <c r="I110" s="25"/>
      <c r="J110" s="25"/>
      <c r="K110" s="26"/>
      <c r="L110" s="26"/>
      <c r="M110" s="26"/>
      <c r="N110" s="26"/>
      <c r="O110" s="26"/>
      <c r="P110" s="14">
        <f t="shared" si="50"/>
        <v>0</v>
      </c>
      <c r="Q110" s="14">
        <f t="shared" si="51"/>
        <v>0</v>
      </c>
    </row>
    <row r="111" spans="1:17" ht="15">
      <c r="A111" s="106"/>
      <c r="B111" s="53"/>
      <c r="C111" s="21" t="s">
        <v>106</v>
      </c>
      <c r="D111" s="16"/>
      <c r="E111" s="25">
        <f>SUM(E108:E110)</f>
        <v>43</v>
      </c>
      <c r="F111" s="25">
        <f t="shared" ref="F111:Q111" si="56">SUM(F108:F110)</f>
        <v>43</v>
      </c>
      <c r="G111" s="25">
        <f t="shared" si="56"/>
        <v>43</v>
      </c>
      <c r="H111" s="25" t="s">
        <v>104</v>
      </c>
      <c r="I111" s="25" t="s">
        <v>104</v>
      </c>
      <c r="J111" s="25" t="s">
        <v>104</v>
      </c>
      <c r="K111" s="25" t="s">
        <v>104</v>
      </c>
      <c r="L111" s="25">
        <f t="shared" si="56"/>
        <v>2614705.2999999998</v>
      </c>
      <c r="M111" s="25">
        <f t="shared" si="56"/>
        <v>1764227.22</v>
      </c>
      <c r="N111" s="25">
        <f t="shared" si="56"/>
        <v>165868.63</v>
      </c>
      <c r="O111" s="25">
        <f t="shared" si="56"/>
        <v>684609.45</v>
      </c>
      <c r="P111" s="25">
        <f t="shared" si="56"/>
        <v>2614705.2999999998</v>
      </c>
      <c r="Q111" s="25">
        <f t="shared" si="56"/>
        <v>2614705.2999999998</v>
      </c>
    </row>
    <row r="112" spans="1:17" ht="168" customHeight="1">
      <c r="A112" s="106"/>
      <c r="B112" s="105" t="s">
        <v>109</v>
      </c>
      <c r="C112" s="9" t="s">
        <v>110</v>
      </c>
      <c r="D112" s="16" t="s">
        <v>101</v>
      </c>
      <c r="E112" s="25">
        <v>300</v>
      </c>
      <c r="F112" s="25">
        <v>300</v>
      </c>
      <c r="G112" s="25">
        <v>300</v>
      </c>
      <c r="H112" s="18">
        <f>I112</f>
        <v>2770.76</v>
      </c>
      <c r="I112" s="18">
        <v>2770.76</v>
      </c>
      <c r="J112" s="18" t="s">
        <v>104</v>
      </c>
      <c r="K112" s="18" t="s">
        <v>104</v>
      </c>
      <c r="L112" s="26">
        <f>SUM(M112:O112)</f>
        <v>831228.00000000012</v>
      </c>
      <c r="M112" s="26">
        <f>I112*E112</f>
        <v>831228.00000000012</v>
      </c>
      <c r="N112" s="26" t="s">
        <v>104</v>
      </c>
      <c r="O112" s="26" t="s">
        <v>104</v>
      </c>
      <c r="P112" s="14">
        <f t="shared" si="50"/>
        <v>831228.00000000012</v>
      </c>
      <c r="Q112" s="14">
        <f t="shared" si="51"/>
        <v>831228.00000000012</v>
      </c>
    </row>
    <row r="113" spans="1:17" ht="180.75" customHeight="1">
      <c r="A113" s="106"/>
      <c r="B113" s="105"/>
      <c r="C113" s="9" t="s">
        <v>111</v>
      </c>
      <c r="D113" s="16" t="s">
        <v>101</v>
      </c>
      <c r="E113" s="25">
        <v>286</v>
      </c>
      <c r="F113" s="25">
        <v>286</v>
      </c>
      <c r="G113" s="25">
        <v>286</v>
      </c>
      <c r="H113" s="18">
        <v>3829.24</v>
      </c>
      <c r="I113" s="18">
        <f>H113</f>
        <v>3829.24</v>
      </c>
      <c r="J113" s="18" t="s">
        <v>104</v>
      </c>
      <c r="K113" s="18" t="s">
        <v>104</v>
      </c>
      <c r="L113" s="26">
        <f>SUM(M113:O113)</f>
        <v>1095162.6399999999</v>
      </c>
      <c r="M113" s="26">
        <f>I113*E113</f>
        <v>1095162.6399999999</v>
      </c>
      <c r="N113" s="27" t="s">
        <v>104</v>
      </c>
      <c r="O113" s="28" t="s">
        <v>104</v>
      </c>
      <c r="P113" s="14">
        <f t="shared" si="50"/>
        <v>1095162.6399999999</v>
      </c>
      <c r="Q113" s="14">
        <f t="shared" si="51"/>
        <v>1095162.6399999999</v>
      </c>
    </row>
    <row r="114" spans="1:17" ht="15">
      <c r="A114" s="106"/>
      <c r="B114" s="29"/>
      <c r="C114" s="21" t="s">
        <v>106</v>
      </c>
      <c r="D114" s="29"/>
      <c r="E114" s="25">
        <f>SUM(E112:E113)</f>
        <v>586</v>
      </c>
      <c r="F114" s="25">
        <f t="shared" ref="F114:O114" si="57">SUM(F112:F113)</f>
        <v>586</v>
      </c>
      <c r="G114" s="25">
        <f t="shared" si="57"/>
        <v>586</v>
      </c>
      <c r="H114" s="25" t="s">
        <v>104</v>
      </c>
      <c r="I114" s="25" t="s">
        <v>104</v>
      </c>
      <c r="J114" s="25" t="s">
        <v>104</v>
      </c>
      <c r="K114" s="25">
        <f t="shared" si="57"/>
        <v>0</v>
      </c>
      <c r="L114" s="25">
        <f t="shared" si="57"/>
        <v>1926390.6400000001</v>
      </c>
      <c r="M114" s="25">
        <f t="shared" si="57"/>
        <v>1926390.6400000001</v>
      </c>
      <c r="N114" s="25">
        <f t="shared" si="57"/>
        <v>0</v>
      </c>
      <c r="O114" s="29">
        <f t="shared" si="57"/>
        <v>0</v>
      </c>
      <c r="P114" s="14">
        <f>SUM(P112:P113)</f>
        <v>1926390.6400000001</v>
      </c>
      <c r="Q114" s="14">
        <f>SUM(Q112:Q113)</f>
        <v>1926390.6400000001</v>
      </c>
    </row>
    <row r="115" spans="1:17" ht="14.25">
      <c r="A115" s="106"/>
      <c r="B115" s="30" t="s">
        <v>112</v>
      </c>
      <c r="C115" s="30"/>
      <c r="D115" s="29"/>
      <c r="E115" s="29"/>
      <c r="F115" s="29"/>
      <c r="G115" s="29"/>
      <c r="H115" s="29"/>
      <c r="I115" s="29"/>
      <c r="J115" s="29"/>
      <c r="K115" s="29"/>
      <c r="L115" s="29">
        <f>SUM(M115:O115)</f>
        <v>27097633.690000001</v>
      </c>
      <c r="M115" s="29">
        <f t="shared" ref="M115:Q115" si="58">M103+M107+M111+M114</f>
        <v>17208353.690000001</v>
      </c>
      <c r="N115" s="29">
        <f t="shared" si="58"/>
        <v>1928705</v>
      </c>
      <c r="O115" s="29">
        <f t="shared" si="58"/>
        <v>7960575</v>
      </c>
      <c r="P115" s="29">
        <f t="shared" si="58"/>
        <v>27097633.690000001</v>
      </c>
      <c r="Q115" s="29">
        <f t="shared" si="58"/>
        <v>27097633.690000001</v>
      </c>
    </row>
    <row r="116" spans="1:17" ht="90">
      <c r="A116" s="106" t="s">
        <v>113</v>
      </c>
      <c r="B116" s="104" t="s">
        <v>99</v>
      </c>
      <c r="C116" s="9" t="s">
        <v>100</v>
      </c>
      <c r="D116" s="10" t="s">
        <v>101</v>
      </c>
      <c r="E116" s="11">
        <v>204</v>
      </c>
      <c r="F116" s="11">
        <v>205</v>
      </c>
      <c r="G116" s="11">
        <v>203</v>
      </c>
      <c r="H116" s="12">
        <f>SUM(I116:K116)</f>
        <v>43059.57</v>
      </c>
      <c r="I116" s="12">
        <f>22328.93+952.08</f>
        <v>23281.010000000002</v>
      </c>
      <c r="J116" s="12">
        <v>3857.41</v>
      </c>
      <c r="K116" s="12">
        <v>15921.15</v>
      </c>
      <c r="L116" s="13">
        <f>SUM(M116:O116)</f>
        <v>8784152.2799999993</v>
      </c>
      <c r="M116" s="13">
        <f>E116*I116</f>
        <v>4749326.04</v>
      </c>
      <c r="N116" s="13">
        <f>E116*J116</f>
        <v>786911.64</v>
      </c>
      <c r="O116" s="14">
        <f>E116*K116</f>
        <v>3247914.6</v>
      </c>
      <c r="P116" s="14">
        <f t="shared" si="50"/>
        <v>8827211.8499999996</v>
      </c>
      <c r="Q116" s="14">
        <f t="shared" si="51"/>
        <v>8741092.709999999</v>
      </c>
    </row>
    <row r="117" spans="1:17" ht="102.75" customHeight="1">
      <c r="A117" s="106"/>
      <c r="B117" s="104"/>
      <c r="C117" s="15" t="s">
        <v>102</v>
      </c>
      <c r="D117" s="16" t="s">
        <v>101</v>
      </c>
      <c r="E117" s="17">
        <v>3</v>
      </c>
      <c r="F117" s="17">
        <v>1</v>
      </c>
      <c r="G117" s="17">
        <v>1</v>
      </c>
      <c r="H117" s="18">
        <v>22724.03</v>
      </c>
      <c r="I117" s="18">
        <v>22724.03</v>
      </c>
      <c r="J117" s="18" t="s">
        <v>103</v>
      </c>
      <c r="K117" s="18" t="s">
        <v>103</v>
      </c>
      <c r="L117" s="13">
        <f>SUM(M117:O117)</f>
        <v>68172.09</v>
      </c>
      <c r="M117" s="13">
        <f>E117*I117</f>
        <v>68172.09</v>
      </c>
      <c r="N117" s="13" t="s">
        <v>104</v>
      </c>
      <c r="O117" s="19" t="s">
        <v>104</v>
      </c>
      <c r="P117" s="14">
        <f t="shared" si="50"/>
        <v>22724.03</v>
      </c>
      <c r="Q117" s="14">
        <f t="shared" si="51"/>
        <v>22724.03</v>
      </c>
    </row>
    <row r="118" spans="1:17" ht="120">
      <c r="A118" s="106"/>
      <c r="B118" s="104"/>
      <c r="C118" s="9" t="s">
        <v>105</v>
      </c>
      <c r="D118" s="16" t="s">
        <v>101</v>
      </c>
      <c r="E118" s="11"/>
      <c r="F118" s="11">
        <v>1</v>
      </c>
      <c r="G118" s="11">
        <v>1</v>
      </c>
      <c r="H118" s="18">
        <f>SUM(I118:K118)</f>
        <v>137159.02000000002</v>
      </c>
      <c r="I118" s="18">
        <f>116428.38+952.08</f>
        <v>117380.46</v>
      </c>
      <c r="J118" s="18">
        <v>3857.41</v>
      </c>
      <c r="K118" s="18">
        <v>15921.15</v>
      </c>
      <c r="L118" s="13">
        <f>SUM(M118:O118)</f>
        <v>0</v>
      </c>
      <c r="M118" s="13">
        <f>E118*I118</f>
        <v>0</v>
      </c>
      <c r="N118" s="13">
        <f>E118*J118</f>
        <v>0</v>
      </c>
      <c r="O118" s="20">
        <f>E118*K118</f>
        <v>0</v>
      </c>
      <c r="P118" s="14">
        <f t="shared" si="50"/>
        <v>137159.02000000002</v>
      </c>
      <c r="Q118" s="14">
        <f t="shared" si="51"/>
        <v>137159.02000000002</v>
      </c>
    </row>
    <row r="119" spans="1:17" ht="15">
      <c r="A119" s="106"/>
      <c r="B119" s="104"/>
      <c r="C119" s="21" t="s">
        <v>106</v>
      </c>
      <c r="D119" s="22"/>
      <c r="E119" s="11">
        <f>E116+E118</f>
        <v>204</v>
      </c>
      <c r="F119" s="11">
        <f>F116+F118</f>
        <v>206</v>
      </c>
      <c r="G119" s="11">
        <f t="shared" ref="G119" si="59">G116+G118</f>
        <v>204</v>
      </c>
      <c r="H119" s="11" t="s">
        <v>104</v>
      </c>
      <c r="I119" s="11" t="s">
        <v>104</v>
      </c>
      <c r="J119" s="11" t="s">
        <v>104</v>
      </c>
      <c r="K119" s="11" t="s">
        <v>104</v>
      </c>
      <c r="L119" s="11">
        <f t="shared" ref="L119:O119" si="60">SUM(L116:L118)</f>
        <v>8852324.3699999992</v>
      </c>
      <c r="M119" s="11">
        <f t="shared" si="60"/>
        <v>4817498.13</v>
      </c>
      <c r="N119" s="11">
        <f t="shared" si="60"/>
        <v>786911.64</v>
      </c>
      <c r="O119" s="11">
        <f t="shared" si="60"/>
        <v>3247914.6</v>
      </c>
      <c r="P119" s="20">
        <f>SUM(P116:P118)</f>
        <v>8987094.8999999985</v>
      </c>
      <c r="Q119" s="14">
        <f>SUM(Q116:Q118)</f>
        <v>8900975.7599999979</v>
      </c>
    </row>
    <row r="120" spans="1:17" ht="90">
      <c r="A120" s="106"/>
      <c r="B120" s="104" t="s">
        <v>107</v>
      </c>
      <c r="C120" s="9" t="s">
        <v>100</v>
      </c>
      <c r="D120" s="10" t="s">
        <v>101</v>
      </c>
      <c r="E120" s="23">
        <v>240</v>
      </c>
      <c r="F120" s="23">
        <v>233</v>
      </c>
      <c r="G120" s="23">
        <v>244</v>
      </c>
      <c r="H120" s="12">
        <f>SUM(I120:K120)</f>
        <v>54095.340000000004</v>
      </c>
      <c r="I120" s="12">
        <f>33147.58+1169.2</f>
        <v>34316.78</v>
      </c>
      <c r="J120" s="12">
        <v>3857.41</v>
      </c>
      <c r="K120" s="18">
        <v>15921.15</v>
      </c>
      <c r="L120" s="11">
        <f>SUM(M120:O120)</f>
        <v>12982881.6</v>
      </c>
      <c r="M120" s="11">
        <f>E120*I120</f>
        <v>8236027.1999999993</v>
      </c>
      <c r="N120" s="11">
        <f>E120*J120</f>
        <v>925778.39999999991</v>
      </c>
      <c r="O120" s="24">
        <f>E120*K120</f>
        <v>3821076</v>
      </c>
      <c r="P120" s="14">
        <f t="shared" si="50"/>
        <v>12604214.220000001</v>
      </c>
      <c r="Q120" s="14">
        <f t="shared" si="51"/>
        <v>13199262.960000001</v>
      </c>
    </row>
    <row r="121" spans="1:17" ht="117.75" customHeight="1">
      <c r="A121" s="106"/>
      <c r="B121" s="104"/>
      <c r="C121" s="15" t="s">
        <v>102</v>
      </c>
      <c r="D121" s="16" t="s">
        <v>101</v>
      </c>
      <c r="E121" s="25">
        <v>3</v>
      </c>
      <c r="F121" s="25">
        <v>4</v>
      </c>
      <c r="G121" s="25">
        <v>4</v>
      </c>
      <c r="H121" s="18">
        <v>22724.03</v>
      </c>
      <c r="I121" s="18">
        <v>22724.03</v>
      </c>
      <c r="J121" s="18" t="s">
        <v>103</v>
      </c>
      <c r="K121" s="18" t="s">
        <v>103</v>
      </c>
      <c r="L121" s="13">
        <f>SUM(M121:O121)</f>
        <v>68172.09</v>
      </c>
      <c r="M121" s="13">
        <f>E121*I121</f>
        <v>68172.09</v>
      </c>
      <c r="N121" s="13" t="s">
        <v>104</v>
      </c>
      <c r="O121" s="19" t="s">
        <v>104</v>
      </c>
      <c r="P121" s="14">
        <f t="shared" si="50"/>
        <v>90896.12</v>
      </c>
      <c r="Q121" s="14">
        <f t="shared" si="51"/>
        <v>90896.12</v>
      </c>
    </row>
    <row r="122" spans="1:17" ht="120">
      <c r="A122" s="106"/>
      <c r="B122" s="104"/>
      <c r="C122" s="9" t="s">
        <v>105</v>
      </c>
      <c r="D122" s="16" t="s">
        <v>101</v>
      </c>
      <c r="E122" s="25">
        <v>5</v>
      </c>
      <c r="F122" s="25">
        <v>4</v>
      </c>
      <c r="G122" s="25">
        <v>4</v>
      </c>
      <c r="H122" s="18">
        <f>SUM(I122:K122)</f>
        <v>166124.72</v>
      </c>
      <c r="I122" s="18">
        <f>145176.96+1169.2</f>
        <v>146346.16</v>
      </c>
      <c r="J122" s="18">
        <v>3857.41</v>
      </c>
      <c r="K122" s="18">
        <v>15921.15</v>
      </c>
      <c r="L122" s="13">
        <f>SUM(M122:O122)</f>
        <v>830623.60000000009</v>
      </c>
      <c r="M122" s="13">
        <f>E122*I122</f>
        <v>731730.8</v>
      </c>
      <c r="N122" s="26">
        <f>E122*J122</f>
        <v>19287.05</v>
      </c>
      <c r="O122" s="26">
        <f>E122*K122</f>
        <v>79605.75</v>
      </c>
      <c r="P122" s="14">
        <f t="shared" si="50"/>
        <v>664498.88</v>
      </c>
      <c r="Q122" s="14">
        <f t="shared" si="51"/>
        <v>664498.88</v>
      </c>
    </row>
    <row r="123" spans="1:17" ht="15">
      <c r="A123" s="106"/>
      <c r="B123" s="53"/>
      <c r="C123" s="21" t="s">
        <v>106</v>
      </c>
      <c r="D123" s="16"/>
      <c r="E123" s="25">
        <f>E120+E122</f>
        <v>245</v>
      </c>
      <c r="F123" s="25">
        <f t="shared" ref="F123:G123" si="61">F120+F122</f>
        <v>237</v>
      </c>
      <c r="G123" s="25">
        <f t="shared" si="61"/>
        <v>248</v>
      </c>
      <c r="H123" s="25" t="s">
        <v>104</v>
      </c>
      <c r="I123" s="25" t="s">
        <v>104</v>
      </c>
      <c r="J123" s="25" t="s">
        <v>104</v>
      </c>
      <c r="K123" s="25" t="s">
        <v>104</v>
      </c>
      <c r="L123" s="25">
        <f t="shared" ref="L123:O123" si="62">SUM(L120:L122)</f>
        <v>13881677.289999999</v>
      </c>
      <c r="M123" s="25">
        <f t="shared" si="62"/>
        <v>9035930.0899999999</v>
      </c>
      <c r="N123" s="25">
        <f t="shared" si="62"/>
        <v>945065.45</v>
      </c>
      <c r="O123" s="25">
        <f t="shared" si="62"/>
        <v>3900681.75</v>
      </c>
      <c r="P123" s="14">
        <f>SUM(P120:P122)</f>
        <v>13359609.220000001</v>
      </c>
      <c r="Q123" s="14">
        <f>SUM(Q120:Q122)</f>
        <v>13954657.960000001</v>
      </c>
    </row>
    <row r="124" spans="1:17" ht="90">
      <c r="A124" s="106"/>
      <c r="B124" s="104" t="s">
        <v>108</v>
      </c>
      <c r="C124" s="9" t="s">
        <v>100</v>
      </c>
      <c r="D124" s="10" t="s">
        <v>101</v>
      </c>
      <c r="E124" s="25">
        <v>36</v>
      </c>
      <c r="F124" s="25">
        <v>46</v>
      </c>
      <c r="G124" s="25">
        <v>50</v>
      </c>
      <c r="H124" s="12">
        <f>SUM(I124:K124)</f>
        <v>60807.1</v>
      </c>
      <c r="I124" s="12">
        <f>39660.87+1367.67</f>
        <v>41028.54</v>
      </c>
      <c r="J124" s="12">
        <v>3857.41</v>
      </c>
      <c r="K124" s="18">
        <v>15921.15</v>
      </c>
      <c r="L124" s="26">
        <f>SUM(M124:O124)</f>
        <v>2189055.6</v>
      </c>
      <c r="M124" s="26">
        <f>E124*I124</f>
        <v>1477027.44</v>
      </c>
      <c r="N124" s="26">
        <f>E124*J124</f>
        <v>138866.76</v>
      </c>
      <c r="O124" s="26">
        <f>E124*K124</f>
        <v>573161.4</v>
      </c>
      <c r="P124" s="14">
        <f t="shared" si="50"/>
        <v>2797126.6</v>
      </c>
      <c r="Q124" s="14">
        <f t="shared" si="51"/>
        <v>3040355</v>
      </c>
    </row>
    <row r="125" spans="1:17" ht="120.75" customHeight="1">
      <c r="A125" s="106"/>
      <c r="B125" s="104"/>
      <c r="C125" s="15" t="s">
        <v>102</v>
      </c>
      <c r="D125" s="16" t="s">
        <v>101</v>
      </c>
      <c r="E125" s="25">
        <v>2</v>
      </c>
      <c r="F125" s="25"/>
      <c r="G125" s="25"/>
      <c r="H125" s="18">
        <v>22724.03</v>
      </c>
      <c r="I125" s="18">
        <v>22724.03</v>
      </c>
      <c r="J125" s="18" t="s">
        <v>103</v>
      </c>
      <c r="K125" s="18" t="s">
        <v>103</v>
      </c>
      <c r="L125" s="13">
        <f>SUM(M125:O125)</f>
        <v>45448.06</v>
      </c>
      <c r="M125" s="13">
        <f>E125*I125</f>
        <v>45448.06</v>
      </c>
      <c r="N125" s="13" t="s">
        <v>104</v>
      </c>
      <c r="O125" s="19" t="s">
        <v>104</v>
      </c>
      <c r="P125" s="14">
        <f t="shared" si="50"/>
        <v>0</v>
      </c>
      <c r="Q125" s="14">
        <f t="shared" si="51"/>
        <v>0</v>
      </c>
    </row>
    <row r="126" spans="1:17" ht="120">
      <c r="A126" s="106"/>
      <c r="B126" s="104"/>
      <c r="C126" s="9" t="s">
        <v>105</v>
      </c>
      <c r="D126" s="16" t="s">
        <v>101</v>
      </c>
      <c r="E126" s="25"/>
      <c r="F126" s="25"/>
      <c r="G126" s="25"/>
      <c r="H126" s="25"/>
      <c r="I126" s="25"/>
      <c r="J126" s="25"/>
      <c r="K126" s="26"/>
      <c r="L126" s="26"/>
      <c r="M126" s="26"/>
      <c r="N126" s="26"/>
      <c r="O126" s="26"/>
      <c r="P126" s="14">
        <f t="shared" si="50"/>
        <v>0</v>
      </c>
      <c r="Q126" s="14">
        <f t="shared" si="51"/>
        <v>0</v>
      </c>
    </row>
    <row r="127" spans="1:17" ht="15">
      <c r="A127" s="106"/>
      <c r="B127" s="53"/>
      <c r="C127" s="21" t="s">
        <v>106</v>
      </c>
      <c r="D127" s="16"/>
      <c r="E127" s="25">
        <f>E124+E126</f>
        <v>36</v>
      </c>
      <c r="F127" s="25">
        <f t="shared" ref="F127:G127" si="63">F124+F126</f>
        <v>46</v>
      </c>
      <c r="G127" s="25">
        <f t="shared" si="63"/>
        <v>50</v>
      </c>
      <c r="H127" s="25" t="s">
        <v>104</v>
      </c>
      <c r="I127" s="25" t="s">
        <v>104</v>
      </c>
      <c r="J127" s="25" t="s">
        <v>104</v>
      </c>
      <c r="K127" s="25" t="s">
        <v>104</v>
      </c>
      <c r="L127" s="25">
        <f t="shared" ref="L127:O127" si="64">SUM(L124:L126)</f>
        <v>2234503.66</v>
      </c>
      <c r="M127" s="25">
        <f t="shared" si="64"/>
        <v>1522475.5</v>
      </c>
      <c r="N127" s="25">
        <f t="shared" si="64"/>
        <v>138866.76</v>
      </c>
      <c r="O127" s="25">
        <f t="shared" si="64"/>
        <v>573161.4</v>
      </c>
      <c r="P127" s="14">
        <f>SUM(P124:P126)</f>
        <v>2797126.6</v>
      </c>
      <c r="Q127" s="14">
        <f>SUM(Q124:Q126)</f>
        <v>3040355</v>
      </c>
    </row>
    <row r="128" spans="1:17" ht="168" customHeight="1">
      <c r="A128" s="106"/>
      <c r="B128" s="105" t="s">
        <v>109</v>
      </c>
      <c r="C128" s="9" t="s">
        <v>110</v>
      </c>
      <c r="D128" s="16" t="s">
        <v>101</v>
      </c>
      <c r="E128" s="25">
        <v>218</v>
      </c>
      <c r="F128" s="25">
        <v>220</v>
      </c>
      <c r="G128" s="25">
        <v>227</v>
      </c>
      <c r="H128" s="18">
        <f>I128</f>
        <v>2770.76</v>
      </c>
      <c r="I128" s="18">
        <v>2770.76</v>
      </c>
      <c r="J128" s="18" t="s">
        <v>104</v>
      </c>
      <c r="K128" s="18" t="s">
        <v>104</v>
      </c>
      <c r="L128" s="26">
        <f>SUM(M128:O128)</f>
        <v>604025.68000000005</v>
      </c>
      <c r="M128" s="26">
        <f>I128*E128</f>
        <v>604025.68000000005</v>
      </c>
      <c r="N128" s="26" t="s">
        <v>104</v>
      </c>
      <c r="O128" s="26" t="s">
        <v>104</v>
      </c>
      <c r="P128" s="14">
        <f t="shared" si="50"/>
        <v>609567.20000000007</v>
      </c>
      <c r="Q128" s="14">
        <f t="shared" si="51"/>
        <v>628962.52</v>
      </c>
    </row>
    <row r="129" spans="1:17" ht="181.5" customHeight="1">
      <c r="A129" s="106"/>
      <c r="B129" s="105"/>
      <c r="C129" s="9" t="s">
        <v>111</v>
      </c>
      <c r="D129" s="16" t="s">
        <v>101</v>
      </c>
      <c r="E129" s="29">
        <v>298</v>
      </c>
      <c r="F129" s="29">
        <v>301</v>
      </c>
      <c r="G129" s="29">
        <v>310</v>
      </c>
      <c r="H129" s="18">
        <v>3829.24</v>
      </c>
      <c r="I129" s="18">
        <f>H129</f>
        <v>3829.24</v>
      </c>
      <c r="J129" s="18" t="s">
        <v>104</v>
      </c>
      <c r="K129" s="18" t="s">
        <v>104</v>
      </c>
      <c r="L129" s="26">
        <f>SUM(M129:O129)</f>
        <v>1141113.52</v>
      </c>
      <c r="M129" s="26">
        <f>I129*E129</f>
        <v>1141113.52</v>
      </c>
      <c r="N129" s="27" t="s">
        <v>104</v>
      </c>
      <c r="O129" s="28" t="s">
        <v>104</v>
      </c>
      <c r="P129" s="14">
        <f t="shared" si="50"/>
        <v>1152601.24</v>
      </c>
      <c r="Q129" s="14">
        <f t="shared" si="51"/>
        <v>1187064.3999999999</v>
      </c>
    </row>
    <row r="130" spans="1:17" ht="15">
      <c r="A130" s="106"/>
      <c r="B130" s="29"/>
      <c r="C130" s="21" t="s">
        <v>106</v>
      </c>
      <c r="D130" s="29"/>
      <c r="E130" s="29">
        <f>SUM(E128:E129)</f>
        <v>516</v>
      </c>
      <c r="F130" s="29">
        <f t="shared" ref="F130:G130" si="65">SUM(F128:F129)</f>
        <v>521</v>
      </c>
      <c r="G130" s="29">
        <f t="shared" si="65"/>
        <v>537</v>
      </c>
      <c r="H130" s="29" t="s">
        <v>104</v>
      </c>
      <c r="I130" s="29" t="s">
        <v>104</v>
      </c>
      <c r="J130" s="29" t="s">
        <v>104</v>
      </c>
      <c r="K130" s="29">
        <f t="shared" ref="K130:O130" si="66">SUM(K128:K129)</f>
        <v>0</v>
      </c>
      <c r="L130" s="25">
        <f t="shared" si="66"/>
        <v>1745139.2000000002</v>
      </c>
      <c r="M130" s="25">
        <f t="shared" si="66"/>
        <v>1745139.2000000002</v>
      </c>
      <c r="N130" s="25">
        <f t="shared" si="66"/>
        <v>0</v>
      </c>
      <c r="O130" s="25">
        <f t="shared" si="66"/>
        <v>0</v>
      </c>
      <c r="P130" s="14">
        <f>SUM(P128:P129)</f>
        <v>1762168.44</v>
      </c>
      <c r="Q130" s="14">
        <f>SUM(Q128:Q129)</f>
        <v>1816026.92</v>
      </c>
    </row>
    <row r="131" spans="1:17" ht="14.25">
      <c r="A131" s="106"/>
      <c r="B131" s="30" t="s">
        <v>112</v>
      </c>
      <c r="C131" s="30"/>
      <c r="D131" s="29"/>
      <c r="E131" s="29"/>
      <c r="F131" s="29"/>
      <c r="G131" s="29"/>
      <c r="H131" s="29"/>
      <c r="I131" s="29"/>
      <c r="J131" s="29"/>
      <c r="K131" s="29"/>
      <c r="L131" s="29">
        <f>SUM(M131:O131)</f>
        <v>26713644.52</v>
      </c>
      <c r="M131" s="29">
        <f t="shared" ref="M131:Q131" si="67">M119+M123+M127+M130</f>
        <v>17121042.919999998</v>
      </c>
      <c r="N131" s="29">
        <f t="shared" si="67"/>
        <v>1870843.8499999999</v>
      </c>
      <c r="O131" s="29">
        <f t="shared" si="67"/>
        <v>7721757.75</v>
      </c>
      <c r="P131" s="29">
        <f t="shared" si="67"/>
        <v>26905999.16</v>
      </c>
      <c r="Q131" s="29">
        <f t="shared" si="67"/>
        <v>27712015.640000001</v>
      </c>
    </row>
    <row r="132" spans="1:17" ht="90">
      <c r="A132" s="106" t="s">
        <v>114</v>
      </c>
      <c r="B132" s="104" t="s">
        <v>99</v>
      </c>
      <c r="C132" s="9" t="s">
        <v>100</v>
      </c>
      <c r="D132" s="10" t="s">
        <v>101</v>
      </c>
      <c r="E132" s="11">
        <v>157</v>
      </c>
      <c r="F132" s="11">
        <v>180</v>
      </c>
      <c r="G132" s="11">
        <v>210</v>
      </c>
      <c r="H132" s="12">
        <f>SUM(I132:K132)</f>
        <v>43059.57</v>
      </c>
      <c r="I132" s="12">
        <f>22328.93+952.08</f>
        <v>23281.010000000002</v>
      </c>
      <c r="J132" s="12">
        <v>3857.41</v>
      </c>
      <c r="K132" s="12">
        <v>15921.15</v>
      </c>
      <c r="L132" s="13">
        <f>SUM(M132:O132)</f>
        <v>6760352.4900000002</v>
      </c>
      <c r="M132" s="13">
        <f>E132*I132</f>
        <v>3655118.5700000003</v>
      </c>
      <c r="N132" s="13">
        <f>E132*J132</f>
        <v>605613.37</v>
      </c>
      <c r="O132" s="14">
        <f>E132*K132</f>
        <v>2499620.5499999998</v>
      </c>
      <c r="P132" s="14">
        <f t="shared" si="50"/>
        <v>7750722.5999999996</v>
      </c>
      <c r="Q132" s="14">
        <f t="shared" si="51"/>
        <v>9042509.6999999993</v>
      </c>
    </row>
    <row r="133" spans="1:17" ht="120">
      <c r="A133" s="106"/>
      <c r="B133" s="104"/>
      <c r="C133" s="15" t="s">
        <v>102</v>
      </c>
      <c r="D133" s="16" t="s">
        <v>101</v>
      </c>
      <c r="E133" s="17">
        <v>2</v>
      </c>
      <c r="F133" s="17">
        <v>1</v>
      </c>
      <c r="G133" s="17">
        <v>1</v>
      </c>
      <c r="H133" s="18">
        <v>22724.03</v>
      </c>
      <c r="I133" s="18">
        <v>22724.03</v>
      </c>
      <c r="J133" s="18" t="s">
        <v>103</v>
      </c>
      <c r="K133" s="18" t="s">
        <v>103</v>
      </c>
      <c r="L133" s="13">
        <f>SUM(M133:O133)</f>
        <v>45448.06</v>
      </c>
      <c r="M133" s="13">
        <f>E133*I133</f>
        <v>45448.06</v>
      </c>
      <c r="N133" s="13" t="s">
        <v>104</v>
      </c>
      <c r="O133" s="19" t="s">
        <v>104</v>
      </c>
      <c r="P133" s="14">
        <f t="shared" si="50"/>
        <v>22724.03</v>
      </c>
      <c r="Q133" s="14">
        <f t="shared" si="51"/>
        <v>22724.03</v>
      </c>
    </row>
    <row r="134" spans="1:17" ht="120">
      <c r="A134" s="106"/>
      <c r="B134" s="104"/>
      <c r="C134" s="9" t="s">
        <v>105</v>
      </c>
      <c r="D134" s="16" t="s">
        <v>101</v>
      </c>
      <c r="E134" s="11"/>
      <c r="F134" s="11">
        <v>1</v>
      </c>
      <c r="G134" s="11">
        <v>1</v>
      </c>
      <c r="H134" s="18">
        <f>SUM(I134:K134)</f>
        <v>137159.02000000002</v>
      </c>
      <c r="I134" s="18">
        <f>116428.38+952.08</f>
        <v>117380.46</v>
      </c>
      <c r="J134" s="18">
        <v>3857.41</v>
      </c>
      <c r="K134" s="18">
        <v>15921.15</v>
      </c>
      <c r="L134" s="13">
        <f>SUM(M134:O134)</f>
        <v>0</v>
      </c>
      <c r="M134" s="13">
        <f>E134*I134</f>
        <v>0</v>
      </c>
      <c r="N134" s="13">
        <f>E134*J134</f>
        <v>0</v>
      </c>
      <c r="O134" s="20">
        <f>E134*K134</f>
        <v>0</v>
      </c>
      <c r="P134" s="14">
        <f t="shared" si="50"/>
        <v>137159.02000000002</v>
      </c>
      <c r="Q134" s="14">
        <f t="shared" si="51"/>
        <v>137159.02000000002</v>
      </c>
    </row>
    <row r="135" spans="1:17" ht="15">
      <c r="A135" s="106"/>
      <c r="B135" s="104"/>
      <c r="C135" s="21" t="s">
        <v>106</v>
      </c>
      <c r="D135" s="22"/>
      <c r="E135" s="11">
        <f>E132+E134</f>
        <v>157</v>
      </c>
      <c r="F135" s="11">
        <f t="shared" ref="F135:G135" si="68">F132+F134</f>
        <v>181</v>
      </c>
      <c r="G135" s="11">
        <f t="shared" si="68"/>
        <v>211</v>
      </c>
      <c r="H135" s="11" t="s">
        <v>104</v>
      </c>
      <c r="I135" s="11" t="s">
        <v>104</v>
      </c>
      <c r="J135" s="11" t="s">
        <v>104</v>
      </c>
      <c r="K135" s="11" t="s">
        <v>104</v>
      </c>
      <c r="L135" s="11">
        <f t="shared" ref="L135:Q135" si="69">SUM(L132:L134)</f>
        <v>6805800.5499999998</v>
      </c>
      <c r="M135" s="11">
        <f t="shared" si="69"/>
        <v>3700566.6300000004</v>
      </c>
      <c r="N135" s="11">
        <f t="shared" si="69"/>
        <v>605613.37</v>
      </c>
      <c r="O135" s="11">
        <f t="shared" si="69"/>
        <v>2499620.5499999998</v>
      </c>
      <c r="P135" s="11">
        <f t="shared" si="69"/>
        <v>7910605.6500000004</v>
      </c>
      <c r="Q135" s="11">
        <f t="shared" si="69"/>
        <v>9202392.7499999981</v>
      </c>
    </row>
    <row r="136" spans="1:17" ht="90">
      <c r="A136" s="106"/>
      <c r="B136" s="104" t="s">
        <v>107</v>
      </c>
      <c r="C136" s="9" t="s">
        <v>100</v>
      </c>
      <c r="D136" s="10" t="s">
        <v>101</v>
      </c>
      <c r="E136" s="23">
        <v>293</v>
      </c>
      <c r="F136" s="23">
        <v>265</v>
      </c>
      <c r="G136" s="23">
        <v>236</v>
      </c>
      <c r="H136" s="12">
        <f>SUM(I136:K136)</f>
        <v>54095.340000000004</v>
      </c>
      <c r="I136" s="12">
        <f>33147.58+1169.2</f>
        <v>34316.78</v>
      </c>
      <c r="J136" s="12">
        <v>3857.41</v>
      </c>
      <c r="K136" s="18">
        <v>15921.15</v>
      </c>
      <c r="L136" s="11">
        <f>SUM(M136:O136)</f>
        <v>15849934.619999997</v>
      </c>
      <c r="M136" s="11">
        <f>E136*I136</f>
        <v>10054816.539999999</v>
      </c>
      <c r="N136" s="11">
        <f>E136*J136</f>
        <v>1130221.1299999999</v>
      </c>
      <c r="O136" s="24">
        <f>E136*K136</f>
        <v>4664896.95</v>
      </c>
      <c r="P136" s="14">
        <f t="shared" si="50"/>
        <v>14335265.100000001</v>
      </c>
      <c r="Q136" s="14">
        <f t="shared" si="51"/>
        <v>12766500.24</v>
      </c>
    </row>
    <row r="137" spans="1:17" ht="114" customHeight="1">
      <c r="A137" s="106"/>
      <c r="B137" s="104"/>
      <c r="C137" s="15" t="s">
        <v>102</v>
      </c>
      <c r="D137" s="16" t="s">
        <v>101</v>
      </c>
      <c r="E137" s="25">
        <v>6</v>
      </c>
      <c r="F137" s="25">
        <v>5</v>
      </c>
      <c r="G137" s="25">
        <v>5</v>
      </c>
      <c r="H137" s="18">
        <v>22724.03</v>
      </c>
      <c r="I137" s="18">
        <v>22724.03</v>
      </c>
      <c r="J137" s="18" t="s">
        <v>103</v>
      </c>
      <c r="K137" s="18" t="s">
        <v>103</v>
      </c>
      <c r="L137" s="13">
        <f>SUM(M137:O137)</f>
        <v>136344.18</v>
      </c>
      <c r="M137" s="13">
        <f>E137*I137</f>
        <v>136344.18</v>
      </c>
      <c r="N137" s="13" t="s">
        <v>104</v>
      </c>
      <c r="O137" s="19" t="s">
        <v>104</v>
      </c>
      <c r="P137" s="14">
        <f t="shared" si="50"/>
        <v>113620.15</v>
      </c>
      <c r="Q137" s="14">
        <f t="shared" si="51"/>
        <v>113620.15</v>
      </c>
    </row>
    <row r="138" spans="1:17" ht="120">
      <c r="A138" s="106"/>
      <c r="B138" s="104"/>
      <c r="C138" s="9" t="s">
        <v>105</v>
      </c>
      <c r="D138" s="16" t="s">
        <v>101</v>
      </c>
      <c r="E138" s="25">
        <v>3</v>
      </c>
      <c r="F138" s="25">
        <v>3</v>
      </c>
      <c r="G138" s="25">
        <v>3</v>
      </c>
      <c r="H138" s="18">
        <f>SUM(I138:K138)</f>
        <v>166124.72</v>
      </c>
      <c r="I138" s="18">
        <f>145176.96+1169.2</f>
        <v>146346.16</v>
      </c>
      <c r="J138" s="18">
        <v>3857.41</v>
      </c>
      <c r="K138" s="18">
        <v>15921.15</v>
      </c>
      <c r="L138" s="26">
        <f>SUM(M138:O138)</f>
        <v>498374.16</v>
      </c>
      <c r="M138" s="26">
        <f>E138*I138</f>
        <v>439038.48</v>
      </c>
      <c r="N138" s="26">
        <f>E138*J138</f>
        <v>11572.23</v>
      </c>
      <c r="O138" s="26">
        <f>E138*K138</f>
        <v>47763.45</v>
      </c>
      <c r="P138" s="14">
        <f t="shared" si="50"/>
        <v>498374.16000000003</v>
      </c>
      <c r="Q138" s="14">
        <f t="shared" si="51"/>
        <v>498374.16000000003</v>
      </c>
    </row>
    <row r="139" spans="1:17" ht="15">
      <c r="A139" s="106"/>
      <c r="B139" s="53"/>
      <c r="C139" s="21" t="s">
        <v>106</v>
      </c>
      <c r="D139" s="16"/>
      <c r="E139" s="25">
        <f>E136+E138</f>
        <v>296</v>
      </c>
      <c r="F139" s="25">
        <f t="shared" ref="F139:G139" si="70">F136+F138</f>
        <v>268</v>
      </c>
      <c r="G139" s="25">
        <f t="shared" si="70"/>
        <v>239</v>
      </c>
      <c r="H139" s="25" t="s">
        <v>104</v>
      </c>
      <c r="I139" s="25" t="s">
        <v>104</v>
      </c>
      <c r="J139" s="25" t="s">
        <v>104</v>
      </c>
      <c r="K139" s="25" t="s">
        <v>104</v>
      </c>
      <c r="L139" s="25">
        <f t="shared" ref="L139:Q139" si="71">SUM(L136:L138)</f>
        <v>16484652.959999997</v>
      </c>
      <c r="M139" s="25">
        <f t="shared" si="71"/>
        <v>10630199.199999999</v>
      </c>
      <c r="N139" s="25">
        <f t="shared" si="71"/>
        <v>1141793.3599999999</v>
      </c>
      <c r="O139" s="25">
        <f t="shared" si="71"/>
        <v>4712660.4000000004</v>
      </c>
      <c r="P139" s="25">
        <f t="shared" si="71"/>
        <v>14947259.410000002</v>
      </c>
      <c r="Q139" s="25">
        <f t="shared" si="71"/>
        <v>13378494.550000001</v>
      </c>
    </row>
    <row r="140" spans="1:17" ht="90">
      <c r="A140" s="106"/>
      <c r="B140" s="104" t="s">
        <v>108</v>
      </c>
      <c r="C140" s="9" t="s">
        <v>100</v>
      </c>
      <c r="D140" s="10" t="s">
        <v>101</v>
      </c>
      <c r="E140" s="25">
        <v>49</v>
      </c>
      <c r="F140" s="25">
        <v>50</v>
      </c>
      <c r="G140" s="25">
        <v>51</v>
      </c>
      <c r="H140" s="12">
        <f>SUM(I140:K140)</f>
        <v>60807.1</v>
      </c>
      <c r="I140" s="12">
        <f>39660.87+1367.67</f>
        <v>41028.54</v>
      </c>
      <c r="J140" s="12">
        <v>3857.41</v>
      </c>
      <c r="K140" s="18">
        <v>15921.15</v>
      </c>
      <c r="L140" s="26">
        <f>SUM(M140:O140)</f>
        <v>2979547.9</v>
      </c>
      <c r="M140" s="26">
        <f>E140*I140</f>
        <v>2010398.46</v>
      </c>
      <c r="N140" s="26">
        <f>E140*J140</f>
        <v>189013.09</v>
      </c>
      <c r="O140" s="26">
        <f>E140*K140</f>
        <v>780136.35</v>
      </c>
      <c r="P140" s="14">
        <f t="shared" si="50"/>
        <v>3040355</v>
      </c>
      <c r="Q140" s="14">
        <f t="shared" si="51"/>
        <v>3101162.1</v>
      </c>
    </row>
    <row r="141" spans="1:17" ht="120">
      <c r="A141" s="106"/>
      <c r="B141" s="104"/>
      <c r="C141" s="15" t="s">
        <v>102</v>
      </c>
      <c r="D141" s="16" t="s">
        <v>101</v>
      </c>
      <c r="E141" s="25">
        <v>1</v>
      </c>
      <c r="F141" s="25">
        <v>1</v>
      </c>
      <c r="G141" s="25"/>
      <c r="H141" s="18">
        <v>22724.03</v>
      </c>
      <c r="I141" s="18">
        <v>22724.03</v>
      </c>
      <c r="J141" s="18" t="s">
        <v>103</v>
      </c>
      <c r="K141" s="18" t="s">
        <v>103</v>
      </c>
      <c r="L141" s="13">
        <f>SUM(M141:O141)</f>
        <v>22724.03</v>
      </c>
      <c r="M141" s="13">
        <f>E141*I141</f>
        <v>22724.03</v>
      </c>
      <c r="N141" s="13" t="s">
        <v>104</v>
      </c>
      <c r="O141" s="19" t="s">
        <v>104</v>
      </c>
      <c r="P141" s="14">
        <f t="shared" si="50"/>
        <v>22724.03</v>
      </c>
      <c r="Q141" s="14">
        <f t="shared" si="51"/>
        <v>0</v>
      </c>
    </row>
    <row r="142" spans="1:17" ht="120">
      <c r="A142" s="106"/>
      <c r="B142" s="104"/>
      <c r="C142" s="9" t="s">
        <v>105</v>
      </c>
      <c r="D142" s="16" t="s">
        <v>101</v>
      </c>
      <c r="E142" s="25"/>
      <c r="F142" s="25">
        <v>1</v>
      </c>
      <c r="G142" s="25">
        <v>1</v>
      </c>
      <c r="H142" s="18">
        <f>SUM(I142:K142)</f>
        <v>195071.76</v>
      </c>
      <c r="I142" s="18">
        <f>173925.53+1367.67</f>
        <v>175293.2</v>
      </c>
      <c r="J142" s="18">
        <v>3857.41</v>
      </c>
      <c r="K142" s="18">
        <v>15921.15</v>
      </c>
      <c r="L142" s="26"/>
      <c r="M142" s="26"/>
      <c r="N142" s="26"/>
      <c r="O142" s="26"/>
      <c r="P142" s="14">
        <f t="shared" si="50"/>
        <v>195071.76</v>
      </c>
      <c r="Q142" s="14">
        <f t="shared" si="51"/>
        <v>195071.76</v>
      </c>
    </row>
    <row r="143" spans="1:17" ht="15">
      <c r="A143" s="106"/>
      <c r="B143" s="53"/>
      <c r="C143" s="21" t="s">
        <v>106</v>
      </c>
      <c r="D143" s="16"/>
      <c r="E143" s="25">
        <f>E140+E142</f>
        <v>49</v>
      </c>
      <c r="F143" s="25">
        <f t="shared" ref="F143:G143" si="72">F140+F142</f>
        <v>51</v>
      </c>
      <c r="G143" s="25">
        <f t="shared" si="72"/>
        <v>52</v>
      </c>
      <c r="H143" s="25" t="s">
        <v>104</v>
      </c>
      <c r="I143" s="25" t="s">
        <v>104</v>
      </c>
      <c r="J143" s="25" t="s">
        <v>104</v>
      </c>
      <c r="K143" s="25" t="s">
        <v>104</v>
      </c>
      <c r="L143" s="25">
        <f t="shared" ref="L143:Q143" si="73">SUM(L140:L142)</f>
        <v>3002271.9299999997</v>
      </c>
      <c r="M143" s="25">
        <f t="shared" si="73"/>
        <v>2033122.49</v>
      </c>
      <c r="N143" s="25">
        <f t="shared" si="73"/>
        <v>189013.09</v>
      </c>
      <c r="O143" s="25">
        <f t="shared" si="73"/>
        <v>780136.35</v>
      </c>
      <c r="P143" s="25">
        <f t="shared" si="73"/>
        <v>3258150.79</v>
      </c>
      <c r="Q143" s="25">
        <f t="shared" si="73"/>
        <v>3296233.8600000003</v>
      </c>
    </row>
    <row r="144" spans="1:17" ht="162.75" customHeight="1">
      <c r="A144" s="106"/>
      <c r="B144" s="105" t="s">
        <v>109</v>
      </c>
      <c r="C144" s="9" t="s">
        <v>110</v>
      </c>
      <c r="D144" s="16" t="s">
        <v>101</v>
      </c>
      <c r="E144" s="25">
        <v>370</v>
      </c>
      <c r="F144" s="25">
        <v>370</v>
      </c>
      <c r="G144" s="25">
        <v>370</v>
      </c>
      <c r="H144" s="18">
        <f>I144</f>
        <v>2770.76</v>
      </c>
      <c r="I144" s="18">
        <v>2770.76</v>
      </c>
      <c r="J144" s="18" t="s">
        <v>104</v>
      </c>
      <c r="K144" s="18" t="s">
        <v>104</v>
      </c>
      <c r="L144" s="26">
        <f>SUM(M144:O144)</f>
        <v>1025181.2000000001</v>
      </c>
      <c r="M144" s="26">
        <f>I144*E144</f>
        <v>1025181.2000000001</v>
      </c>
      <c r="N144" s="26" t="s">
        <v>104</v>
      </c>
      <c r="O144" s="26" t="s">
        <v>104</v>
      </c>
      <c r="P144" s="14">
        <f t="shared" si="50"/>
        <v>1025181.2000000001</v>
      </c>
      <c r="Q144" s="14">
        <f t="shared" si="51"/>
        <v>1025181.2000000001</v>
      </c>
    </row>
    <row r="145" spans="1:17" ht="183.75" customHeight="1">
      <c r="A145" s="106"/>
      <c r="B145" s="105"/>
      <c r="C145" s="9" t="s">
        <v>111</v>
      </c>
      <c r="D145" s="16" t="s">
        <v>101</v>
      </c>
      <c r="E145" s="29">
        <v>369</v>
      </c>
      <c r="F145" s="29">
        <v>369</v>
      </c>
      <c r="G145" s="29">
        <v>369</v>
      </c>
      <c r="H145" s="18">
        <v>3829.24</v>
      </c>
      <c r="I145" s="18">
        <f>H145</f>
        <v>3829.24</v>
      </c>
      <c r="J145" s="18" t="s">
        <v>104</v>
      </c>
      <c r="K145" s="18" t="s">
        <v>104</v>
      </c>
      <c r="L145" s="26">
        <f>SUM(M145:O145)</f>
        <v>1412989.5599999998</v>
      </c>
      <c r="M145" s="26">
        <f>I145*E145</f>
        <v>1412989.5599999998</v>
      </c>
      <c r="N145" s="27" t="s">
        <v>104</v>
      </c>
      <c r="O145" s="28" t="s">
        <v>104</v>
      </c>
      <c r="P145" s="14">
        <f t="shared" si="50"/>
        <v>1412989.5599999998</v>
      </c>
      <c r="Q145" s="14">
        <f t="shared" si="51"/>
        <v>1412989.5599999998</v>
      </c>
    </row>
    <row r="146" spans="1:17" ht="15">
      <c r="A146" s="106"/>
      <c r="B146" s="29"/>
      <c r="C146" s="21" t="s">
        <v>106</v>
      </c>
      <c r="D146" s="29"/>
      <c r="E146" s="29">
        <f>SUM(E144:E145)</f>
        <v>739</v>
      </c>
      <c r="F146" s="29">
        <f t="shared" ref="F146:G146" si="74">SUM(F144:F145)</f>
        <v>739</v>
      </c>
      <c r="G146" s="25">
        <f t="shared" si="74"/>
        <v>739</v>
      </c>
      <c r="H146" s="25" t="s">
        <v>104</v>
      </c>
      <c r="I146" s="25" t="s">
        <v>104</v>
      </c>
      <c r="J146" s="25" t="s">
        <v>104</v>
      </c>
      <c r="K146" s="25">
        <f t="shared" ref="K146:O146" si="75">SUM(K144:K145)</f>
        <v>0</v>
      </c>
      <c r="L146" s="25">
        <f t="shared" si="75"/>
        <v>2438170.7599999998</v>
      </c>
      <c r="M146" s="25">
        <f t="shared" si="75"/>
        <v>2438170.7599999998</v>
      </c>
      <c r="N146" s="25">
        <f t="shared" si="75"/>
        <v>0</v>
      </c>
      <c r="O146" s="25">
        <f t="shared" si="75"/>
        <v>0</v>
      </c>
      <c r="P146" s="14">
        <f>SUM(P144:P145)</f>
        <v>2438170.7599999998</v>
      </c>
      <c r="Q146" s="14">
        <f>SUM(Q144:Q145)</f>
        <v>2438170.7599999998</v>
      </c>
    </row>
    <row r="147" spans="1:17" ht="14.25">
      <c r="A147" s="106"/>
      <c r="B147" s="30" t="s">
        <v>112</v>
      </c>
      <c r="C147" s="30"/>
      <c r="D147" s="29"/>
      <c r="E147" s="29"/>
      <c r="F147" s="29"/>
      <c r="G147" s="29"/>
      <c r="H147" s="29"/>
      <c r="I147" s="29"/>
      <c r="J147" s="29"/>
      <c r="K147" s="29"/>
      <c r="L147" s="29">
        <f>SUM(M147:O147)</f>
        <v>28730896.199999999</v>
      </c>
      <c r="M147" s="29">
        <f t="shared" ref="M147:Q147" si="76">M135+M139+M143+M146</f>
        <v>18802059.079999998</v>
      </c>
      <c r="N147" s="29">
        <f t="shared" si="76"/>
        <v>1936419.82</v>
      </c>
      <c r="O147" s="29">
        <f t="shared" si="76"/>
        <v>7992417.2999999998</v>
      </c>
      <c r="P147" s="29">
        <f t="shared" si="76"/>
        <v>28554186.609999999</v>
      </c>
      <c r="Q147" s="29">
        <f t="shared" si="76"/>
        <v>28315291.919999994</v>
      </c>
    </row>
    <row r="148" spans="1:17" ht="90">
      <c r="A148" s="106" t="s">
        <v>115</v>
      </c>
      <c r="B148" s="104" t="s">
        <v>99</v>
      </c>
      <c r="C148" s="9" t="s">
        <v>100</v>
      </c>
      <c r="D148" s="10" t="s">
        <v>101</v>
      </c>
      <c r="E148" s="11">
        <v>195</v>
      </c>
      <c r="F148" s="11">
        <v>199</v>
      </c>
      <c r="G148" s="11">
        <v>200</v>
      </c>
      <c r="H148" s="12">
        <f>SUM(I148:K148)</f>
        <v>43059.57</v>
      </c>
      <c r="I148" s="12">
        <f>22328.93+952.08</f>
        <v>23281.010000000002</v>
      </c>
      <c r="J148" s="12">
        <v>3857.41</v>
      </c>
      <c r="K148" s="12">
        <v>15921.15</v>
      </c>
      <c r="L148" s="13">
        <f>SUM(M148:O148)</f>
        <v>8396616.1500000004</v>
      </c>
      <c r="M148" s="13">
        <f>E148*I148</f>
        <v>4539796.95</v>
      </c>
      <c r="N148" s="13">
        <f>E148*J148</f>
        <v>752194.95</v>
      </c>
      <c r="O148" s="14">
        <f>E148*K148</f>
        <v>3104624.25</v>
      </c>
      <c r="P148" s="14">
        <f t="shared" si="50"/>
        <v>8568854.4299999997</v>
      </c>
      <c r="Q148" s="14">
        <f t="shared" si="51"/>
        <v>8611914</v>
      </c>
    </row>
    <row r="149" spans="1:17" ht="117.75" customHeight="1">
      <c r="A149" s="106"/>
      <c r="B149" s="104"/>
      <c r="C149" s="15" t="s">
        <v>102</v>
      </c>
      <c r="D149" s="16" t="s">
        <v>101</v>
      </c>
      <c r="E149" s="17">
        <v>4</v>
      </c>
      <c r="F149" s="17">
        <v>12</v>
      </c>
      <c r="G149" s="17">
        <v>18</v>
      </c>
      <c r="H149" s="18">
        <v>22724.03</v>
      </c>
      <c r="I149" s="18">
        <v>22724.03</v>
      </c>
      <c r="J149" s="18" t="s">
        <v>103</v>
      </c>
      <c r="K149" s="18" t="s">
        <v>103</v>
      </c>
      <c r="L149" s="13">
        <f>SUM(M149:O149)</f>
        <v>90896.12</v>
      </c>
      <c r="M149" s="13">
        <f>E149*I149</f>
        <v>90896.12</v>
      </c>
      <c r="N149" s="13" t="s">
        <v>104</v>
      </c>
      <c r="O149" s="19" t="s">
        <v>104</v>
      </c>
      <c r="P149" s="14">
        <f t="shared" si="50"/>
        <v>272688.36</v>
      </c>
      <c r="Q149" s="14">
        <f t="shared" si="51"/>
        <v>409032.54</v>
      </c>
    </row>
    <row r="150" spans="1:17" ht="120">
      <c r="A150" s="106"/>
      <c r="B150" s="104"/>
      <c r="C150" s="9" t="s">
        <v>105</v>
      </c>
      <c r="D150" s="16" t="s">
        <v>101</v>
      </c>
      <c r="E150" s="11">
        <v>3</v>
      </c>
      <c r="F150" s="11">
        <v>5</v>
      </c>
      <c r="G150" s="11">
        <v>5</v>
      </c>
      <c r="H150" s="18">
        <f>SUM(I150:K150)</f>
        <v>137159.02000000002</v>
      </c>
      <c r="I150" s="18">
        <f>116428.38+952.08</f>
        <v>117380.46</v>
      </c>
      <c r="J150" s="18">
        <v>3857.41</v>
      </c>
      <c r="K150" s="18">
        <v>15921.15</v>
      </c>
      <c r="L150" s="13">
        <f>SUM(M150:O150)</f>
        <v>411477.06</v>
      </c>
      <c r="M150" s="13">
        <f>E150*I150</f>
        <v>352141.38</v>
      </c>
      <c r="N150" s="13">
        <f>E150*J150</f>
        <v>11572.23</v>
      </c>
      <c r="O150" s="20">
        <f>E150*K150</f>
        <v>47763.45</v>
      </c>
      <c r="P150" s="14">
        <f t="shared" si="50"/>
        <v>685795.10000000009</v>
      </c>
      <c r="Q150" s="14">
        <f t="shared" si="51"/>
        <v>685795.10000000009</v>
      </c>
    </row>
    <row r="151" spans="1:17" ht="15">
      <c r="A151" s="106"/>
      <c r="B151" s="104"/>
      <c r="C151" s="21" t="s">
        <v>106</v>
      </c>
      <c r="D151" s="22"/>
      <c r="E151" s="11">
        <f>E148+E150</f>
        <v>198</v>
      </c>
      <c r="F151" s="11">
        <f t="shared" ref="F151:G151" si="77">F148+F150</f>
        <v>204</v>
      </c>
      <c r="G151" s="11">
        <f t="shared" si="77"/>
        <v>205</v>
      </c>
      <c r="H151" s="11" t="s">
        <v>104</v>
      </c>
      <c r="I151" s="11" t="s">
        <v>104</v>
      </c>
      <c r="J151" s="11" t="s">
        <v>104</v>
      </c>
      <c r="K151" s="11" t="s">
        <v>104</v>
      </c>
      <c r="L151" s="11">
        <f t="shared" ref="L151:Q151" si="78">SUM(L148:L150)</f>
        <v>8898989.3300000001</v>
      </c>
      <c r="M151" s="11">
        <f t="shared" si="78"/>
        <v>4982834.45</v>
      </c>
      <c r="N151" s="11">
        <f t="shared" si="78"/>
        <v>763767.17999999993</v>
      </c>
      <c r="O151" s="11">
        <f t="shared" si="78"/>
        <v>3152387.7</v>
      </c>
      <c r="P151" s="11">
        <f t="shared" si="78"/>
        <v>9527337.8899999987</v>
      </c>
      <c r="Q151" s="11">
        <f t="shared" si="78"/>
        <v>9706741.6399999987</v>
      </c>
    </row>
    <row r="152" spans="1:17" ht="90">
      <c r="A152" s="106"/>
      <c r="B152" s="104" t="s">
        <v>107</v>
      </c>
      <c r="C152" s="9" t="s">
        <v>100</v>
      </c>
      <c r="D152" s="10" t="s">
        <v>101</v>
      </c>
      <c r="E152" s="23">
        <v>171</v>
      </c>
      <c r="F152" s="23">
        <v>180</v>
      </c>
      <c r="G152" s="23">
        <v>185</v>
      </c>
      <c r="H152" s="12">
        <f>SUM(I152:K152)</f>
        <v>54095.340000000004</v>
      </c>
      <c r="I152" s="12">
        <f>33147.58+1169.2</f>
        <v>34316.78</v>
      </c>
      <c r="J152" s="12">
        <v>3857.41</v>
      </c>
      <c r="K152" s="18">
        <v>15921.15</v>
      </c>
      <c r="L152" s="11">
        <f>SUM(M152:O152)</f>
        <v>9250303.1400000006</v>
      </c>
      <c r="M152" s="11">
        <f>E152*I152</f>
        <v>5868169.3799999999</v>
      </c>
      <c r="N152" s="11">
        <f>E152*J152</f>
        <v>659617.11</v>
      </c>
      <c r="O152" s="24">
        <f>E152*K152</f>
        <v>2722516.65</v>
      </c>
      <c r="P152" s="14">
        <f t="shared" si="50"/>
        <v>9737161.2000000011</v>
      </c>
      <c r="Q152" s="14">
        <f t="shared" si="51"/>
        <v>10007637.9</v>
      </c>
    </row>
    <row r="153" spans="1:17" ht="112.5" customHeight="1">
      <c r="A153" s="106"/>
      <c r="B153" s="104"/>
      <c r="C153" s="15" t="s">
        <v>102</v>
      </c>
      <c r="D153" s="16" t="s">
        <v>101</v>
      </c>
      <c r="E153" s="25"/>
      <c r="F153" s="25"/>
      <c r="G153" s="25"/>
      <c r="H153" s="18">
        <v>22724.03</v>
      </c>
      <c r="I153" s="18">
        <v>22724.03</v>
      </c>
      <c r="J153" s="18" t="s">
        <v>103</v>
      </c>
      <c r="K153" s="18" t="s">
        <v>103</v>
      </c>
      <c r="L153" s="13">
        <f>SUM(M153:O153)</f>
        <v>0</v>
      </c>
      <c r="M153" s="13">
        <f>E153*I153</f>
        <v>0</v>
      </c>
      <c r="N153" s="13" t="s">
        <v>104</v>
      </c>
      <c r="O153" s="19" t="s">
        <v>104</v>
      </c>
      <c r="P153" s="14">
        <f t="shared" si="50"/>
        <v>0</v>
      </c>
      <c r="Q153" s="14">
        <f t="shared" si="51"/>
        <v>0</v>
      </c>
    </row>
    <row r="154" spans="1:17" ht="120">
      <c r="A154" s="106"/>
      <c r="B154" s="104"/>
      <c r="C154" s="9" t="s">
        <v>105</v>
      </c>
      <c r="D154" s="16" t="s">
        <v>101</v>
      </c>
      <c r="E154" s="25">
        <v>2</v>
      </c>
      <c r="F154" s="25">
        <v>2</v>
      </c>
      <c r="G154" s="25">
        <v>2</v>
      </c>
      <c r="H154" s="18">
        <f>SUM(I154:K154)</f>
        <v>166124.72</v>
      </c>
      <c r="I154" s="18">
        <f>145176.96+1169.2</f>
        <v>146346.16</v>
      </c>
      <c r="J154" s="18">
        <v>3857.41</v>
      </c>
      <c r="K154" s="18">
        <v>15921.15</v>
      </c>
      <c r="L154" s="26">
        <f>SUM(M154:O154)</f>
        <v>332249.44</v>
      </c>
      <c r="M154" s="26">
        <f>E154*I154</f>
        <v>292692.32</v>
      </c>
      <c r="N154" s="26">
        <f>E154*J154</f>
        <v>7714.82</v>
      </c>
      <c r="O154" s="26">
        <f>E154*K154</f>
        <v>31842.3</v>
      </c>
      <c r="P154" s="14">
        <f t="shared" si="50"/>
        <v>332249.44</v>
      </c>
      <c r="Q154" s="14">
        <f t="shared" si="51"/>
        <v>332249.44</v>
      </c>
    </row>
    <row r="155" spans="1:17" ht="15">
      <c r="A155" s="106"/>
      <c r="B155" s="53"/>
      <c r="C155" s="21" t="s">
        <v>106</v>
      </c>
      <c r="D155" s="16"/>
      <c r="E155" s="25">
        <f>E152+E154</f>
        <v>173</v>
      </c>
      <c r="F155" s="25">
        <f t="shared" ref="F155:G155" si="79">F152+F154</f>
        <v>182</v>
      </c>
      <c r="G155" s="25">
        <f t="shared" si="79"/>
        <v>187</v>
      </c>
      <c r="H155" s="25" t="s">
        <v>104</v>
      </c>
      <c r="I155" s="25" t="s">
        <v>104</v>
      </c>
      <c r="J155" s="25" t="s">
        <v>104</v>
      </c>
      <c r="K155" s="25" t="s">
        <v>104</v>
      </c>
      <c r="L155" s="25">
        <f t="shared" ref="L155:Q155" si="80">SUM(L152:L154)</f>
        <v>9582552.5800000001</v>
      </c>
      <c r="M155" s="25">
        <f t="shared" si="80"/>
        <v>6160861.7000000002</v>
      </c>
      <c r="N155" s="25">
        <f t="shared" si="80"/>
        <v>667331.92999999993</v>
      </c>
      <c r="O155" s="25">
        <f t="shared" si="80"/>
        <v>2754358.9499999997</v>
      </c>
      <c r="P155" s="25">
        <f t="shared" si="80"/>
        <v>10069410.640000001</v>
      </c>
      <c r="Q155" s="25">
        <f t="shared" si="80"/>
        <v>10339887.34</v>
      </c>
    </row>
    <row r="156" spans="1:17" ht="90">
      <c r="A156" s="106"/>
      <c r="B156" s="104" t="s">
        <v>108</v>
      </c>
      <c r="C156" s="9" t="s">
        <v>100</v>
      </c>
      <c r="D156" s="10" t="s">
        <v>101</v>
      </c>
      <c r="E156" s="25">
        <v>35</v>
      </c>
      <c r="F156" s="25">
        <v>39</v>
      </c>
      <c r="G156" s="25">
        <v>40</v>
      </c>
      <c r="H156" s="12">
        <f>SUM(I156:K156)</f>
        <v>60807.1</v>
      </c>
      <c r="I156" s="12">
        <f>39660.87+1367.67</f>
        <v>41028.54</v>
      </c>
      <c r="J156" s="12">
        <v>3857.41</v>
      </c>
      <c r="K156" s="18">
        <v>15921.15</v>
      </c>
      <c r="L156" s="26">
        <f>SUM(M156:O156)</f>
        <v>2128248.5</v>
      </c>
      <c r="M156" s="26">
        <f>E156*I156</f>
        <v>1435998.9000000001</v>
      </c>
      <c r="N156" s="26">
        <f>E156*J156</f>
        <v>135009.35</v>
      </c>
      <c r="O156" s="26">
        <f>E156*K156</f>
        <v>557240.25</v>
      </c>
      <c r="P156" s="14">
        <f t="shared" si="50"/>
        <v>2371476.9</v>
      </c>
      <c r="Q156" s="14">
        <f t="shared" si="51"/>
        <v>2432284</v>
      </c>
    </row>
    <row r="157" spans="1:17" ht="120">
      <c r="A157" s="106"/>
      <c r="B157" s="104"/>
      <c r="C157" s="15" t="s">
        <v>102</v>
      </c>
      <c r="D157" s="16" t="s">
        <v>101</v>
      </c>
      <c r="E157" s="25">
        <v>1</v>
      </c>
      <c r="F157" s="25"/>
      <c r="G157" s="25"/>
      <c r="H157" s="18">
        <v>22724.03</v>
      </c>
      <c r="I157" s="18">
        <v>22724.03</v>
      </c>
      <c r="J157" s="18" t="s">
        <v>103</v>
      </c>
      <c r="K157" s="18" t="s">
        <v>103</v>
      </c>
      <c r="L157" s="13">
        <f>SUM(M157:O157)</f>
        <v>22724.03</v>
      </c>
      <c r="M157" s="13">
        <f>E157*I157</f>
        <v>22724.03</v>
      </c>
      <c r="N157" s="13" t="s">
        <v>104</v>
      </c>
      <c r="O157" s="19" t="s">
        <v>104</v>
      </c>
      <c r="P157" s="14">
        <f t="shared" si="50"/>
        <v>0</v>
      </c>
      <c r="Q157" s="14">
        <f t="shared" si="51"/>
        <v>0</v>
      </c>
    </row>
    <row r="158" spans="1:17" ht="120">
      <c r="A158" s="106"/>
      <c r="B158" s="104"/>
      <c r="C158" s="9" t="s">
        <v>105</v>
      </c>
      <c r="D158" s="16" t="s">
        <v>101</v>
      </c>
      <c r="E158" s="25"/>
      <c r="F158" s="25">
        <v>1</v>
      </c>
      <c r="G158" s="25">
        <v>1</v>
      </c>
      <c r="H158" s="18">
        <f>SUM(I158:K158)</f>
        <v>195071.76</v>
      </c>
      <c r="I158" s="18">
        <f>173925.53+1367.67</f>
        <v>175293.2</v>
      </c>
      <c r="J158" s="18">
        <v>3857.41</v>
      </c>
      <c r="K158" s="18">
        <v>15921.15</v>
      </c>
      <c r="L158" s="26"/>
      <c r="M158" s="26"/>
      <c r="N158" s="26"/>
      <c r="O158" s="26"/>
      <c r="P158" s="14">
        <f t="shared" si="50"/>
        <v>195071.76</v>
      </c>
      <c r="Q158" s="14">
        <f t="shared" si="51"/>
        <v>195071.76</v>
      </c>
    </row>
    <row r="159" spans="1:17" ht="15">
      <c r="A159" s="106"/>
      <c r="B159" s="53"/>
      <c r="C159" s="21" t="s">
        <v>106</v>
      </c>
      <c r="D159" s="16"/>
      <c r="E159" s="25">
        <f>E156+E158</f>
        <v>35</v>
      </c>
      <c r="F159" s="25">
        <f t="shared" ref="F159:G159" si="81">F156+F158</f>
        <v>40</v>
      </c>
      <c r="G159" s="25">
        <f t="shared" si="81"/>
        <v>41</v>
      </c>
      <c r="H159" s="25" t="s">
        <v>104</v>
      </c>
      <c r="I159" s="25" t="s">
        <v>104</v>
      </c>
      <c r="J159" s="25" t="s">
        <v>104</v>
      </c>
      <c r="K159" s="25" t="s">
        <v>104</v>
      </c>
      <c r="L159" s="25">
        <f t="shared" ref="L159:Q159" si="82">SUM(L156:L158)</f>
        <v>2150972.5299999998</v>
      </c>
      <c r="M159" s="25">
        <f t="shared" si="82"/>
        <v>1458722.9300000002</v>
      </c>
      <c r="N159" s="25">
        <f t="shared" si="82"/>
        <v>135009.35</v>
      </c>
      <c r="O159" s="25">
        <f t="shared" si="82"/>
        <v>557240.25</v>
      </c>
      <c r="P159" s="25">
        <f t="shared" si="82"/>
        <v>2566548.66</v>
      </c>
      <c r="Q159" s="25">
        <f t="shared" si="82"/>
        <v>2627355.7599999998</v>
      </c>
    </row>
    <row r="160" spans="1:17" ht="165.75" customHeight="1">
      <c r="A160" s="106"/>
      <c r="B160" s="105" t="s">
        <v>109</v>
      </c>
      <c r="C160" s="9" t="s">
        <v>110</v>
      </c>
      <c r="D160" s="16" t="s">
        <v>101</v>
      </c>
      <c r="E160" s="25">
        <v>258</v>
      </c>
      <c r="F160" s="25">
        <v>268</v>
      </c>
      <c r="G160" s="25">
        <v>271</v>
      </c>
      <c r="H160" s="18">
        <f>I160</f>
        <v>2770.76</v>
      </c>
      <c r="I160" s="18">
        <v>2770.76</v>
      </c>
      <c r="J160" s="18" t="s">
        <v>104</v>
      </c>
      <c r="K160" s="18" t="s">
        <v>104</v>
      </c>
      <c r="L160" s="26">
        <f>SUM(M160:O160)</f>
        <v>714856.08000000007</v>
      </c>
      <c r="M160" s="26">
        <f>I160*E160</f>
        <v>714856.08000000007</v>
      </c>
      <c r="N160" s="26" t="s">
        <v>104</v>
      </c>
      <c r="O160" s="26" t="s">
        <v>104</v>
      </c>
      <c r="P160" s="14">
        <f t="shared" si="50"/>
        <v>742563.68</v>
      </c>
      <c r="Q160" s="14">
        <f t="shared" si="51"/>
        <v>750875.96000000008</v>
      </c>
    </row>
    <row r="161" spans="1:17" ht="183.75" customHeight="1">
      <c r="A161" s="106"/>
      <c r="B161" s="105"/>
      <c r="C161" s="9" t="s">
        <v>111</v>
      </c>
      <c r="D161" s="16" t="s">
        <v>101</v>
      </c>
      <c r="E161" s="29">
        <v>206</v>
      </c>
      <c r="F161" s="29">
        <v>214</v>
      </c>
      <c r="G161" s="29">
        <v>216</v>
      </c>
      <c r="H161" s="18">
        <v>3829.24</v>
      </c>
      <c r="I161" s="18">
        <f>H161</f>
        <v>3829.24</v>
      </c>
      <c r="J161" s="18" t="s">
        <v>104</v>
      </c>
      <c r="K161" s="18" t="s">
        <v>104</v>
      </c>
      <c r="L161" s="26">
        <f>SUM(M161:O161)</f>
        <v>788823.44</v>
      </c>
      <c r="M161" s="26">
        <f>I161*E161</f>
        <v>788823.44</v>
      </c>
      <c r="N161" s="27" t="s">
        <v>104</v>
      </c>
      <c r="O161" s="28" t="s">
        <v>104</v>
      </c>
      <c r="P161" s="14">
        <f t="shared" si="50"/>
        <v>819457.36</v>
      </c>
      <c r="Q161" s="14">
        <f t="shared" si="51"/>
        <v>827115.84</v>
      </c>
    </row>
    <row r="162" spans="1:17" ht="15">
      <c r="A162" s="106"/>
      <c r="B162" s="29"/>
      <c r="C162" s="21" t="s">
        <v>106</v>
      </c>
      <c r="D162" s="29"/>
      <c r="E162" s="29">
        <f>SUM(E160:E161)</f>
        <v>464</v>
      </c>
      <c r="F162" s="29">
        <f t="shared" ref="F162:G162" si="83">SUM(F160:F161)</f>
        <v>482</v>
      </c>
      <c r="G162" s="25">
        <f t="shared" si="83"/>
        <v>487</v>
      </c>
      <c r="H162" s="25" t="s">
        <v>104</v>
      </c>
      <c r="I162" s="25" t="s">
        <v>104</v>
      </c>
      <c r="J162" s="25" t="s">
        <v>104</v>
      </c>
      <c r="K162" s="25">
        <f t="shared" ref="K162:O162" si="84">SUM(K160:K161)</f>
        <v>0</v>
      </c>
      <c r="L162" s="25">
        <f t="shared" si="84"/>
        <v>1503679.52</v>
      </c>
      <c r="M162" s="25">
        <f t="shared" si="84"/>
        <v>1503679.52</v>
      </c>
      <c r="N162" s="25">
        <f t="shared" si="84"/>
        <v>0</v>
      </c>
      <c r="O162" s="25">
        <f t="shared" si="84"/>
        <v>0</v>
      </c>
      <c r="P162" s="14">
        <f>SUM(P160:P161)</f>
        <v>1562021.04</v>
      </c>
      <c r="Q162" s="14">
        <f>SUM(Q160:Q161)</f>
        <v>1577991.8</v>
      </c>
    </row>
    <row r="163" spans="1:17" ht="14.25">
      <c r="A163" s="106"/>
      <c r="B163" s="30" t="s">
        <v>112</v>
      </c>
      <c r="C163" s="30"/>
      <c r="D163" s="29"/>
      <c r="E163" s="29"/>
      <c r="F163" s="29"/>
      <c r="G163" s="29"/>
      <c r="H163" s="29"/>
      <c r="I163" s="29"/>
      <c r="J163" s="29"/>
      <c r="K163" s="29"/>
      <c r="L163" s="29">
        <f>SUM(M163:O163)</f>
        <v>22136193.960000001</v>
      </c>
      <c r="M163" s="29">
        <f t="shared" ref="M163:Q163" si="85">M151+M155+M159+M162</f>
        <v>14106098.6</v>
      </c>
      <c r="N163" s="29">
        <f t="shared" si="85"/>
        <v>1566108.46</v>
      </c>
      <c r="O163" s="29">
        <f t="shared" si="85"/>
        <v>6463986.9000000004</v>
      </c>
      <c r="P163" s="29">
        <f t="shared" si="85"/>
        <v>23725318.23</v>
      </c>
      <c r="Q163" s="29">
        <f t="shared" si="85"/>
        <v>24251976.539999995</v>
      </c>
    </row>
    <row r="164" spans="1:17" ht="90">
      <c r="A164" s="106" t="s">
        <v>116</v>
      </c>
      <c r="B164" s="104" t="s">
        <v>99</v>
      </c>
      <c r="C164" s="9" t="s">
        <v>100</v>
      </c>
      <c r="D164" s="10" t="s">
        <v>101</v>
      </c>
      <c r="E164" s="11">
        <v>309</v>
      </c>
      <c r="F164" s="11">
        <v>320</v>
      </c>
      <c r="G164" s="11">
        <v>320</v>
      </c>
      <c r="H164" s="12">
        <f>SUM(I164:K164)</f>
        <v>43059.57</v>
      </c>
      <c r="I164" s="12">
        <f>22328.93+952.08</f>
        <v>23281.010000000002</v>
      </c>
      <c r="J164" s="12">
        <v>3857.41</v>
      </c>
      <c r="K164" s="12">
        <v>15921.15</v>
      </c>
      <c r="L164" s="13">
        <f>SUM(M164:O164)</f>
        <v>13305407.130000001</v>
      </c>
      <c r="M164" s="13">
        <f>E164*I164</f>
        <v>7193832.0900000008</v>
      </c>
      <c r="N164" s="13">
        <f>E164*J164</f>
        <v>1191939.69</v>
      </c>
      <c r="O164" s="14">
        <f>E164*K164</f>
        <v>4919635.3499999996</v>
      </c>
      <c r="P164" s="14">
        <f t="shared" si="50"/>
        <v>13779062.4</v>
      </c>
      <c r="Q164" s="14">
        <f t="shared" si="51"/>
        <v>13779062.4</v>
      </c>
    </row>
    <row r="165" spans="1:17" ht="110.25" customHeight="1">
      <c r="A165" s="106"/>
      <c r="B165" s="104"/>
      <c r="C165" s="15" t="s">
        <v>102</v>
      </c>
      <c r="D165" s="16" t="s">
        <v>101</v>
      </c>
      <c r="E165" s="17">
        <v>3</v>
      </c>
      <c r="F165" s="17">
        <v>3</v>
      </c>
      <c r="G165" s="17">
        <v>3</v>
      </c>
      <c r="H165" s="18">
        <v>22724.03</v>
      </c>
      <c r="I165" s="18">
        <v>22724.03</v>
      </c>
      <c r="J165" s="18" t="s">
        <v>103</v>
      </c>
      <c r="K165" s="18" t="s">
        <v>103</v>
      </c>
      <c r="L165" s="13">
        <f>SUM(M165:O165)</f>
        <v>68172.09</v>
      </c>
      <c r="M165" s="13">
        <f>E165*I165</f>
        <v>68172.09</v>
      </c>
      <c r="N165" s="13" t="s">
        <v>104</v>
      </c>
      <c r="O165" s="19" t="s">
        <v>104</v>
      </c>
      <c r="P165" s="14">
        <f t="shared" ref="P165:P180" si="86">F165*H165</f>
        <v>68172.09</v>
      </c>
      <c r="Q165" s="14">
        <f t="shared" ref="Q165:Q180" si="87">G165*H165</f>
        <v>68172.09</v>
      </c>
    </row>
    <row r="166" spans="1:17" ht="120">
      <c r="A166" s="106"/>
      <c r="B166" s="104"/>
      <c r="C166" s="9" t="s">
        <v>105</v>
      </c>
      <c r="D166" s="16" t="s">
        <v>101</v>
      </c>
      <c r="E166" s="11">
        <v>2</v>
      </c>
      <c r="F166" s="11">
        <v>2</v>
      </c>
      <c r="G166" s="11">
        <v>2</v>
      </c>
      <c r="H166" s="18">
        <f>SUM(I166:K166)</f>
        <v>137159.02000000002</v>
      </c>
      <c r="I166" s="18">
        <f>116428.38+952.08</f>
        <v>117380.46</v>
      </c>
      <c r="J166" s="18">
        <v>3857.41</v>
      </c>
      <c r="K166" s="18">
        <v>15921.15</v>
      </c>
      <c r="L166" s="13">
        <f>SUM(M166:O166)</f>
        <v>274318.04000000004</v>
      </c>
      <c r="M166" s="13">
        <f>E166*I166</f>
        <v>234760.92</v>
      </c>
      <c r="N166" s="13">
        <f>E166*J166</f>
        <v>7714.82</v>
      </c>
      <c r="O166" s="20">
        <f>E166*K166</f>
        <v>31842.3</v>
      </c>
      <c r="P166" s="14">
        <f t="shared" si="86"/>
        <v>274318.04000000004</v>
      </c>
      <c r="Q166" s="14">
        <f t="shared" si="87"/>
        <v>274318.04000000004</v>
      </c>
    </row>
    <row r="167" spans="1:17" ht="105">
      <c r="A167" s="106"/>
      <c r="B167" s="53"/>
      <c r="C167" s="9" t="s">
        <v>117</v>
      </c>
      <c r="D167" s="16" t="s">
        <v>101</v>
      </c>
      <c r="E167" s="11">
        <v>4</v>
      </c>
      <c r="F167" s="11">
        <v>4</v>
      </c>
      <c r="G167" s="11">
        <v>4</v>
      </c>
      <c r="H167" s="18">
        <f>I167</f>
        <v>20712.060000000001</v>
      </c>
      <c r="I167" s="18">
        <v>20712.060000000001</v>
      </c>
      <c r="J167" s="18" t="s">
        <v>104</v>
      </c>
      <c r="K167" s="18" t="s">
        <v>104</v>
      </c>
      <c r="L167" s="11">
        <f>SUM(M167:O167)</f>
        <v>82848.240000000005</v>
      </c>
      <c r="M167" s="11">
        <f>E167*I167</f>
        <v>82848.240000000005</v>
      </c>
      <c r="N167" s="11"/>
      <c r="O167" s="11"/>
      <c r="P167" s="14">
        <f t="shared" si="86"/>
        <v>82848.240000000005</v>
      </c>
      <c r="Q167" s="14">
        <f t="shared" si="87"/>
        <v>82848.240000000005</v>
      </c>
    </row>
    <row r="168" spans="1:17" ht="15">
      <c r="A168" s="106"/>
      <c r="B168" s="53"/>
      <c r="C168" s="21" t="s">
        <v>106</v>
      </c>
      <c r="D168" s="22"/>
      <c r="E168" s="11">
        <f>E164+E166</f>
        <v>311</v>
      </c>
      <c r="F168" s="11">
        <f t="shared" ref="F168:G168" si="88">F164+F166</f>
        <v>322</v>
      </c>
      <c r="G168" s="11">
        <f t="shared" si="88"/>
        <v>322</v>
      </c>
      <c r="H168" s="11" t="s">
        <v>104</v>
      </c>
      <c r="I168" s="11" t="s">
        <v>104</v>
      </c>
      <c r="J168" s="11" t="s">
        <v>104</v>
      </c>
      <c r="K168" s="11" t="s">
        <v>104</v>
      </c>
      <c r="L168" s="13">
        <f>SUM(L164:L167)</f>
        <v>13730745.500000002</v>
      </c>
      <c r="M168" s="13">
        <f t="shared" ref="M168:Q168" si="89">SUM(M164:M167)</f>
        <v>7579613.3400000008</v>
      </c>
      <c r="N168" s="13">
        <f t="shared" si="89"/>
        <v>1199654.51</v>
      </c>
      <c r="O168" s="13">
        <f t="shared" si="89"/>
        <v>4951477.6499999994</v>
      </c>
      <c r="P168" s="13">
        <f t="shared" si="89"/>
        <v>14204400.770000001</v>
      </c>
      <c r="Q168" s="13">
        <f t="shared" si="89"/>
        <v>14204400.770000001</v>
      </c>
    </row>
    <row r="169" spans="1:17" ht="90">
      <c r="A169" s="106"/>
      <c r="B169" s="104" t="s">
        <v>107</v>
      </c>
      <c r="C169" s="9" t="s">
        <v>100</v>
      </c>
      <c r="D169" s="10" t="s">
        <v>101</v>
      </c>
      <c r="E169" s="23">
        <v>57</v>
      </c>
      <c r="F169" s="23">
        <v>50</v>
      </c>
      <c r="G169" s="23">
        <v>53</v>
      </c>
      <c r="H169" s="12">
        <f>SUM(I169:K169)</f>
        <v>54095.340000000004</v>
      </c>
      <c r="I169" s="12">
        <f>33147.58+1169.2</f>
        <v>34316.78</v>
      </c>
      <c r="J169" s="12">
        <v>3857.41</v>
      </c>
      <c r="K169" s="18">
        <v>15921.15</v>
      </c>
      <c r="L169" s="11">
        <f>SUM(M169:O169)</f>
        <v>3083434.38</v>
      </c>
      <c r="M169" s="11">
        <f>E169*I169</f>
        <v>1956056.46</v>
      </c>
      <c r="N169" s="11">
        <f>E169*J169</f>
        <v>219872.37</v>
      </c>
      <c r="O169" s="24">
        <f>E169*K169</f>
        <v>907505.54999999993</v>
      </c>
      <c r="P169" s="14">
        <f t="shared" si="86"/>
        <v>2704767</v>
      </c>
      <c r="Q169" s="14">
        <f t="shared" si="87"/>
        <v>2867053.02</v>
      </c>
    </row>
    <row r="170" spans="1:17" ht="104.25" customHeight="1">
      <c r="A170" s="106"/>
      <c r="B170" s="104"/>
      <c r="C170" s="9" t="s">
        <v>118</v>
      </c>
      <c r="D170" s="10" t="s">
        <v>101</v>
      </c>
      <c r="E170" s="23">
        <v>326</v>
      </c>
      <c r="F170" s="23">
        <v>315</v>
      </c>
      <c r="G170" s="23">
        <v>327</v>
      </c>
      <c r="H170" s="12">
        <f>SUM(I170:K170)</f>
        <v>57407.18</v>
      </c>
      <c r="I170" s="12">
        <f>36459.42+1169.2</f>
        <v>37628.619999999995</v>
      </c>
      <c r="J170" s="12">
        <v>3857.41</v>
      </c>
      <c r="K170" s="18">
        <v>15921.15</v>
      </c>
      <c r="L170" s="11">
        <f>SUM(M170:O170)</f>
        <v>18714740.68</v>
      </c>
      <c r="M170" s="11">
        <f>E170*I170</f>
        <v>12266930.119999999</v>
      </c>
      <c r="N170" s="11">
        <f>E170*J170</f>
        <v>1257515.6599999999</v>
      </c>
      <c r="O170" s="24">
        <f>E170*K170</f>
        <v>5190294.8999999994</v>
      </c>
      <c r="P170" s="14">
        <f t="shared" si="86"/>
        <v>18083261.699999999</v>
      </c>
      <c r="Q170" s="14">
        <f t="shared" si="87"/>
        <v>18772147.859999999</v>
      </c>
    </row>
    <row r="171" spans="1:17" ht="119.25" customHeight="1">
      <c r="A171" s="106"/>
      <c r="B171" s="104"/>
      <c r="C171" s="15" t="s">
        <v>102</v>
      </c>
      <c r="D171" s="16" t="s">
        <v>101</v>
      </c>
      <c r="E171" s="25">
        <v>1</v>
      </c>
      <c r="F171" s="25">
        <v>1</v>
      </c>
      <c r="G171" s="25">
        <v>1</v>
      </c>
      <c r="H171" s="18">
        <v>22724.03</v>
      </c>
      <c r="I171" s="18">
        <v>22724.03</v>
      </c>
      <c r="J171" s="18" t="s">
        <v>103</v>
      </c>
      <c r="K171" s="18" t="s">
        <v>103</v>
      </c>
      <c r="L171" s="13">
        <f>SUM(M171:O171)</f>
        <v>22724.03</v>
      </c>
      <c r="M171" s="13">
        <f>E171*I171</f>
        <v>22724.03</v>
      </c>
      <c r="N171" s="13" t="s">
        <v>104</v>
      </c>
      <c r="O171" s="19" t="s">
        <v>104</v>
      </c>
      <c r="P171" s="14">
        <f t="shared" si="86"/>
        <v>22724.03</v>
      </c>
      <c r="Q171" s="14">
        <f t="shared" si="87"/>
        <v>22724.03</v>
      </c>
    </row>
    <row r="172" spans="1:17" ht="120">
      <c r="A172" s="106"/>
      <c r="B172" s="104"/>
      <c r="C172" s="9" t="s">
        <v>105</v>
      </c>
      <c r="D172" s="16" t="s">
        <v>101</v>
      </c>
      <c r="E172" s="25"/>
      <c r="F172" s="25"/>
      <c r="G172" s="25"/>
      <c r="H172" s="18">
        <f>SUM(I172:K172)</f>
        <v>166124.72</v>
      </c>
      <c r="I172" s="18">
        <f>145176.96+1169.2</f>
        <v>146346.16</v>
      </c>
      <c r="J172" s="18">
        <v>3857.41</v>
      </c>
      <c r="K172" s="18">
        <v>15921.15</v>
      </c>
      <c r="L172" s="26">
        <f>SUM(M172:O172)</f>
        <v>0</v>
      </c>
      <c r="M172" s="26">
        <f>E172*I172</f>
        <v>0</v>
      </c>
      <c r="N172" s="26">
        <f>E172*J172</f>
        <v>0</v>
      </c>
      <c r="O172" s="26">
        <f>E172*K172</f>
        <v>0</v>
      </c>
      <c r="P172" s="14">
        <f t="shared" si="86"/>
        <v>0</v>
      </c>
      <c r="Q172" s="14">
        <f t="shared" si="87"/>
        <v>0</v>
      </c>
    </row>
    <row r="173" spans="1:17" ht="105">
      <c r="A173" s="106"/>
      <c r="B173" s="53"/>
      <c r="C173" s="9" t="s">
        <v>117</v>
      </c>
      <c r="D173" s="16" t="s">
        <v>101</v>
      </c>
      <c r="E173" s="25">
        <v>3</v>
      </c>
      <c r="F173" s="25">
        <v>3</v>
      </c>
      <c r="G173" s="25">
        <v>3</v>
      </c>
      <c r="H173" s="18">
        <v>32794.07</v>
      </c>
      <c r="I173" s="18">
        <f>H173</f>
        <v>32794.07</v>
      </c>
      <c r="J173" s="18" t="s">
        <v>104</v>
      </c>
      <c r="K173" s="18" t="s">
        <v>104</v>
      </c>
      <c r="L173" s="26">
        <f>SUM(M173:O173)</f>
        <v>98382.209999999992</v>
      </c>
      <c r="M173" s="26">
        <f>E173*I173</f>
        <v>98382.209999999992</v>
      </c>
      <c r="N173" s="26"/>
      <c r="O173" s="26"/>
      <c r="P173" s="14">
        <f t="shared" si="86"/>
        <v>98382.209999999992</v>
      </c>
      <c r="Q173" s="14">
        <f t="shared" si="87"/>
        <v>98382.209999999992</v>
      </c>
    </row>
    <row r="174" spans="1:17" ht="15">
      <c r="A174" s="106"/>
      <c r="B174" s="53"/>
      <c r="C174" s="21" t="s">
        <v>106</v>
      </c>
      <c r="D174" s="16"/>
      <c r="E174" s="25">
        <f>E169++E170+E172</f>
        <v>383</v>
      </c>
      <c r="F174" s="25">
        <f t="shared" ref="F174:G174" si="90">F169++F170+F172</f>
        <v>365</v>
      </c>
      <c r="G174" s="25">
        <f t="shared" si="90"/>
        <v>380</v>
      </c>
      <c r="H174" s="25" t="s">
        <v>104</v>
      </c>
      <c r="I174" s="25" t="s">
        <v>104</v>
      </c>
      <c r="J174" s="25" t="s">
        <v>104</v>
      </c>
      <c r="K174" s="25" t="s">
        <v>104</v>
      </c>
      <c r="L174" s="25">
        <f>SUM(L169:L173)</f>
        <v>21919281.300000001</v>
      </c>
      <c r="M174" s="25">
        <f t="shared" ref="M174:Q174" si="91">SUM(M169:M173)</f>
        <v>14344092.819999998</v>
      </c>
      <c r="N174" s="25">
        <f t="shared" si="91"/>
        <v>1477388.0299999998</v>
      </c>
      <c r="O174" s="25">
        <f t="shared" si="91"/>
        <v>6097800.4499999993</v>
      </c>
      <c r="P174" s="25">
        <f t="shared" si="91"/>
        <v>20909134.940000001</v>
      </c>
      <c r="Q174" s="25">
        <f t="shared" si="91"/>
        <v>21760307.120000001</v>
      </c>
    </row>
    <row r="175" spans="1:17" ht="90">
      <c r="A175" s="106"/>
      <c r="B175" s="104" t="s">
        <v>108</v>
      </c>
      <c r="C175" s="9" t="s">
        <v>100</v>
      </c>
      <c r="D175" s="10" t="s">
        <v>101</v>
      </c>
      <c r="E175" s="25">
        <v>106</v>
      </c>
      <c r="F175" s="25">
        <v>110</v>
      </c>
      <c r="G175" s="25">
        <v>112</v>
      </c>
      <c r="H175" s="12">
        <f>SUM(I175:K175)</f>
        <v>60807.1</v>
      </c>
      <c r="I175" s="12">
        <f>39660.87+1367.67</f>
        <v>41028.54</v>
      </c>
      <c r="J175" s="12">
        <v>3857.41</v>
      </c>
      <c r="K175" s="18">
        <v>15921.15</v>
      </c>
      <c r="L175" s="26">
        <f>SUM(M175:O175)</f>
        <v>6445552.5999999996</v>
      </c>
      <c r="M175" s="26">
        <f>E175*I175</f>
        <v>4349025.24</v>
      </c>
      <c r="N175" s="26">
        <f>E175*J175</f>
        <v>408885.45999999996</v>
      </c>
      <c r="O175" s="26">
        <f>E175*K175</f>
        <v>1687641.9</v>
      </c>
      <c r="P175" s="14">
        <f t="shared" si="86"/>
        <v>6688781</v>
      </c>
      <c r="Q175" s="14">
        <f t="shared" si="87"/>
        <v>6810395.2000000002</v>
      </c>
    </row>
    <row r="176" spans="1:17" ht="113.25" customHeight="1">
      <c r="A176" s="106"/>
      <c r="B176" s="104"/>
      <c r="C176" s="15" t="s">
        <v>102</v>
      </c>
      <c r="D176" s="16" t="s">
        <v>101</v>
      </c>
      <c r="E176" s="25">
        <v>1</v>
      </c>
      <c r="F176" s="25">
        <v>1</v>
      </c>
      <c r="G176" s="25">
        <v>1</v>
      </c>
      <c r="H176" s="18">
        <v>22724.03</v>
      </c>
      <c r="I176" s="18">
        <v>22724.03</v>
      </c>
      <c r="J176" s="18" t="s">
        <v>103</v>
      </c>
      <c r="K176" s="18" t="s">
        <v>103</v>
      </c>
      <c r="L176" s="13">
        <f>SUM(M176:O176)</f>
        <v>22724.03</v>
      </c>
      <c r="M176" s="13">
        <f>E176*I176</f>
        <v>22724.03</v>
      </c>
      <c r="N176" s="13" t="s">
        <v>104</v>
      </c>
      <c r="O176" s="19" t="s">
        <v>104</v>
      </c>
      <c r="P176" s="14">
        <f t="shared" si="86"/>
        <v>22724.03</v>
      </c>
      <c r="Q176" s="14">
        <f t="shared" si="87"/>
        <v>22724.03</v>
      </c>
    </row>
    <row r="177" spans="1:17" ht="120">
      <c r="A177" s="106"/>
      <c r="B177" s="104"/>
      <c r="C177" s="9" t="s">
        <v>105</v>
      </c>
      <c r="D177" s="16" t="s">
        <v>101</v>
      </c>
      <c r="E177" s="25"/>
      <c r="F177" s="25"/>
      <c r="G177" s="25"/>
      <c r="H177" s="18">
        <f>SUM(I177:K177)</f>
        <v>195071.76</v>
      </c>
      <c r="I177" s="18">
        <f>173925.53+1367.67</f>
        <v>175293.2</v>
      </c>
      <c r="J177" s="18">
        <v>3857.41</v>
      </c>
      <c r="K177" s="18">
        <v>15921.15</v>
      </c>
      <c r="L177" s="26"/>
      <c r="M177" s="26"/>
      <c r="N177" s="26"/>
      <c r="O177" s="26"/>
      <c r="P177" s="14">
        <f t="shared" si="86"/>
        <v>0</v>
      </c>
      <c r="Q177" s="14">
        <f t="shared" si="87"/>
        <v>0</v>
      </c>
    </row>
    <row r="178" spans="1:17" ht="15">
      <c r="A178" s="106"/>
      <c r="B178" s="53"/>
      <c r="C178" s="21" t="s">
        <v>106</v>
      </c>
      <c r="D178" s="16"/>
      <c r="E178" s="25">
        <f>E175+E177</f>
        <v>106</v>
      </c>
      <c r="F178" s="25">
        <f t="shared" ref="F178:G178" si="92">F175+F177</f>
        <v>110</v>
      </c>
      <c r="G178" s="25">
        <f t="shared" si="92"/>
        <v>112</v>
      </c>
      <c r="H178" s="25" t="s">
        <v>104</v>
      </c>
      <c r="I178" s="25" t="s">
        <v>104</v>
      </c>
      <c r="J178" s="25" t="s">
        <v>104</v>
      </c>
      <c r="K178" s="25" t="s">
        <v>104</v>
      </c>
      <c r="L178" s="25">
        <f>SUM(L175:L177)</f>
        <v>6468276.6299999999</v>
      </c>
      <c r="M178" s="25">
        <f t="shared" ref="M178:Q178" si="93">SUM(M175:M177)</f>
        <v>4371749.2700000005</v>
      </c>
      <c r="N178" s="25">
        <f t="shared" si="93"/>
        <v>408885.45999999996</v>
      </c>
      <c r="O178" s="25">
        <f t="shared" si="93"/>
        <v>1687641.9</v>
      </c>
      <c r="P178" s="25">
        <f t="shared" si="93"/>
        <v>6711505.0300000003</v>
      </c>
      <c r="Q178" s="25">
        <f t="shared" si="93"/>
        <v>6833119.2300000004</v>
      </c>
    </row>
    <row r="179" spans="1:17" ht="171.75" customHeight="1">
      <c r="A179" s="106"/>
      <c r="B179" s="105" t="s">
        <v>109</v>
      </c>
      <c r="C179" s="9" t="s">
        <v>110</v>
      </c>
      <c r="D179" s="16" t="s">
        <v>101</v>
      </c>
      <c r="E179" s="25">
        <v>509</v>
      </c>
      <c r="F179" s="25">
        <v>519</v>
      </c>
      <c r="G179" s="25">
        <v>519</v>
      </c>
      <c r="H179" s="18">
        <f>I179</f>
        <v>2770.76</v>
      </c>
      <c r="I179" s="18">
        <v>2770.76</v>
      </c>
      <c r="J179" s="18" t="s">
        <v>104</v>
      </c>
      <c r="K179" s="18" t="s">
        <v>104</v>
      </c>
      <c r="L179" s="26">
        <f>SUM(M179:O179)</f>
        <v>1410316.84</v>
      </c>
      <c r="M179" s="26">
        <f>I179*E179</f>
        <v>1410316.84</v>
      </c>
      <c r="N179" s="26" t="s">
        <v>104</v>
      </c>
      <c r="O179" s="26" t="s">
        <v>104</v>
      </c>
      <c r="P179" s="14">
        <f t="shared" si="86"/>
        <v>1438024.4400000002</v>
      </c>
      <c r="Q179" s="14">
        <f t="shared" si="87"/>
        <v>1438024.4400000002</v>
      </c>
    </row>
    <row r="180" spans="1:17" ht="180.75" customHeight="1">
      <c r="A180" s="106"/>
      <c r="B180" s="105"/>
      <c r="C180" s="9" t="s">
        <v>111</v>
      </c>
      <c r="D180" s="16" t="s">
        <v>101</v>
      </c>
      <c r="E180" s="29">
        <v>622</v>
      </c>
      <c r="F180" s="29">
        <v>632</v>
      </c>
      <c r="G180" s="29">
        <v>632</v>
      </c>
      <c r="H180" s="18">
        <v>3829.24</v>
      </c>
      <c r="I180" s="18">
        <f>H180</f>
        <v>3829.24</v>
      </c>
      <c r="J180" s="18" t="s">
        <v>104</v>
      </c>
      <c r="K180" s="18" t="s">
        <v>104</v>
      </c>
      <c r="L180" s="26">
        <f>SUM(M180:O180)</f>
        <v>2381787.2799999998</v>
      </c>
      <c r="M180" s="26">
        <f>I180*E180</f>
        <v>2381787.2799999998</v>
      </c>
      <c r="N180" s="27" t="s">
        <v>104</v>
      </c>
      <c r="O180" s="28" t="s">
        <v>104</v>
      </c>
      <c r="P180" s="14">
        <f t="shared" si="86"/>
        <v>2420079.6799999997</v>
      </c>
      <c r="Q180" s="14">
        <f t="shared" si="87"/>
        <v>2420079.6799999997</v>
      </c>
    </row>
    <row r="181" spans="1:17" ht="15">
      <c r="A181" s="106"/>
      <c r="B181" s="29"/>
      <c r="C181" s="21" t="s">
        <v>106</v>
      </c>
      <c r="D181" s="29"/>
      <c r="E181" s="29">
        <f>SUM(E179:E180)</f>
        <v>1131</v>
      </c>
      <c r="F181" s="29">
        <f t="shared" ref="F181:G181" si="94">SUM(F179:F180)</f>
        <v>1151</v>
      </c>
      <c r="G181" s="25">
        <f t="shared" si="94"/>
        <v>1151</v>
      </c>
      <c r="H181" s="25" t="s">
        <v>104</v>
      </c>
      <c r="I181" s="25" t="s">
        <v>104</v>
      </c>
      <c r="J181" s="25" t="s">
        <v>104</v>
      </c>
      <c r="K181" s="25">
        <f t="shared" ref="K181:O181" si="95">SUM(K179:K180)</f>
        <v>0</v>
      </c>
      <c r="L181" s="25">
        <f t="shared" si="95"/>
        <v>3792104.12</v>
      </c>
      <c r="M181" s="25">
        <f t="shared" si="95"/>
        <v>3792104.12</v>
      </c>
      <c r="N181" s="25">
        <f t="shared" si="95"/>
        <v>0</v>
      </c>
      <c r="O181" s="25">
        <f t="shared" si="95"/>
        <v>0</v>
      </c>
      <c r="P181" s="14">
        <f>SUM(P179:P180)</f>
        <v>3858104.12</v>
      </c>
      <c r="Q181" s="14">
        <f>SUM(Q179:Q180)</f>
        <v>3858104.12</v>
      </c>
    </row>
    <row r="182" spans="1:17" ht="14.25">
      <c r="A182" s="106"/>
      <c r="B182" s="30" t="s">
        <v>112</v>
      </c>
      <c r="C182" s="30"/>
      <c r="D182" s="29"/>
      <c r="E182" s="29"/>
      <c r="F182" s="29"/>
      <c r="G182" s="29"/>
      <c r="H182" s="29"/>
      <c r="I182" s="29"/>
      <c r="J182" s="29"/>
      <c r="K182" s="29"/>
      <c r="L182" s="31">
        <f>L168+L174+L178+L181</f>
        <v>45910407.550000004</v>
      </c>
      <c r="M182" s="31">
        <f t="shared" ref="M182:Q182" si="96">M168+M174+M178+M181</f>
        <v>30087559.550000001</v>
      </c>
      <c r="N182" s="31">
        <f t="shared" si="96"/>
        <v>3085928</v>
      </c>
      <c r="O182" s="31">
        <f t="shared" si="96"/>
        <v>12736919.999999998</v>
      </c>
      <c r="P182" s="31">
        <f t="shared" si="96"/>
        <v>45683144.859999999</v>
      </c>
      <c r="Q182" s="31">
        <f t="shared" si="96"/>
        <v>46655931.240000002</v>
      </c>
    </row>
    <row r="183" spans="1:17" ht="225" customHeight="1">
      <c r="A183" s="106" t="s">
        <v>119</v>
      </c>
      <c r="B183" s="104" t="s">
        <v>99</v>
      </c>
      <c r="C183" s="9" t="s">
        <v>120</v>
      </c>
      <c r="D183" s="10" t="s">
        <v>121</v>
      </c>
      <c r="E183" s="32" t="s">
        <v>122</v>
      </c>
      <c r="F183" s="11" t="s">
        <v>122</v>
      </c>
      <c r="G183" s="11" t="s">
        <v>123</v>
      </c>
      <c r="H183" s="33" t="s">
        <v>124</v>
      </c>
      <c r="I183" s="33" t="s">
        <v>125</v>
      </c>
      <c r="J183" s="33" t="s">
        <v>126</v>
      </c>
      <c r="K183" s="33" t="s">
        <v>127</v>
      </c>
      <c r="L183" s="13">
        <f t="shared" ref="L183:L188" si="97">SUM(M183:O183)</f>
        <v>2238893.54</v>
      </c>
      <c r="M183" s="13">
        <f>642642.05*2+952.08*46</f>
        <v>1329079.78</v>
      </c>
      <c r="N183" s="13">
        <f>3857.41*46</f>
        <v>177440.86</v>
      </c>
      <c r="O183" s="14">
        <f>15921.15*46</f>
        <v>732372.9</v>
      </c>
      <c r="P183" s="14">
        <f>642642.05*2+20730.64*46</f>
        <v>2238893.54</v>
      </c>
      <c r="Q183" s="14">
        <f>643642.05*2+20730.64*49</f>
        <v>2303085.46</v>
      </c>
    </row>
    <row r="184" spans="1:17" ht="240">
      <c r="A184" s="106"/>
      <c r="B184" s="104"/>
      <c r="C184" s="9" t="s">
        <v>128</v>
      </c>
      <c r="D184" s="10" t="s">
        <v>121</v>
      </c>
      <c r="E184" s="33" t="s">
        <v>129</v>
      </c>
      <c r="F184" s="33" t="s">
        <v>130</v>
      </c>
      <c r="G184" s="33" t="s">
        <v>130</v>
      </c>
      <c r="H184" s="33" t="s">
        <v>131</v>
      </c>
      <c r="I184" s="33" t="s">
        <v>132</v>
      </c>
      <c r="J184" s="33" t="s">
        <v>126</v>
      </c>
      <c r="K184" s="33" t="s">
        <v>127</v>
      </c>
      <c r="L184" s="13">
        <f t="shared" si="97"/>
        <v>3681151.7999999993</v>
      </c>
      <c r="M184" s="13">
        <f>604145.69*4+952.08*61</f>
        <v>2474659.6399999997</v>
      </c>
      <c r="N184" s="13">
        <f>3857.41*61</f>
        <v>235302.00999999998</v>
      </c>
      <c r="O184" s="14">
        <f>15921.15*61</f>
        <v>971190.15</v>
      </c>
      <c r="P184" s="14">
        <f>604145.69*4+20730.64*63</f>
        <v>3722613.08</v>
      </c>
      <c r="Q184" s="14">
        <f>P184</f>
        <v>3722613.08</v>
      </c>
    </row>
    <row r="185" spans="1:17" ht="120">
      <c r="A185" s="106"/>
      <c r="B185" s="104"/>
      <c r="C185" s="15" t="s">
        <v>102</v>
      </c>
      <c r="D185" s="16" t="s">
        <v>101</v>
      </c>
      <c r="E185" s="17"/>
      <c r="F185" s="17"/>
      <c r="G185" s="17"/>
      <c r="H185" s="18">
        <v>22724.03</v>
      </c>
      <c r="I185" s="18">
        <v>22724.03</v>
      </c>
      <c r="J185" s="18" t="s">
        <v>103</v>
      </c>
      <c r="K185" s="18" t="s">
        <v>103</v>
      </c>
      <c r="L185" s="13">
        <f t="shared" si="97"/>
        <v>0</v>
      </c>
      <c r="M185" s="13">
        <f>E185*I185</f>
        <v>0</v>
      </c>
      <c r="N185" s="13" t="s">
        <v>104</v>
      </c>
      <c r="O185" s="19" t="s">
        <v>104</v>
      </c>
      <c r="P185" s="14">
        <f t="shared" ref="P185:P195" si="98">F185*H185</f>
        <v>0</v>
      </c>
      <c r="Q185" s="14">
        <f t="shared" ref="Q185:Q195" si="99">G185*H185</f>
        <v>0</v>
      </c>
    </row>
    <row r="186" spans="1:17" ht="15">
      <c r="A186" s="106"/>
      <c r="B186" s="104"/>
      <c r="C186" s="21" t="s">
        <v>106</v>
      </c>
      <c r="D186" s="22"/>
      <c r="E186" s="11" t="s">
        <v>133</v>
      </c>
      <c r="F186" s="11" t="s">
        <v>134</v>
      </c>
      <c r="G186" s="11" t="s">
        <v>135</v>
      </c>
      <c r="H186" s="11" t="s">
        <v>104</v>
      </c>
      <c r="I186" s="11" t="s">
        <v>104</v>
      </c>
      <c r="J186" s="11" t="s">
        <v>104</v>
      </c>
      <c r="K186" s="11" t="s">
        <v>104</v>
      </c>
      <c r="L186" s="13">
        <f t="shared" si="97"/>
        <v>5920045.3399999999</v>
      </c>
      <c r="M186" s="13">
        <f>SUM(M183:M185)</f>
        <v>3803739.42</v>
      </c>
      <c r="N186" s="13">
        <f t="shared" ref="N186:O186" si="100">SUM(N183:N185)</f>
        <v>412742.87</v>
      </c>
      <c r="O186" s="13">
        <f t="shared" si="100"/>
        <v>1703563.05</v>
      </c>
      <c r="P186" s="34">
        <f>SUM(P183:P185)</f>
        <v>5961506.6200000001</v>
      </c>
      <c r="Q186" s="34">
        <f>SUM(Q183:Q185)</f>
        <v>6025698.54</v>
      </c>
    </row>
    <row r="187" spans="1:17" ht="222" customHeight="1">
      <c r="A187" s="106"/>
      <c r="B187" s="104" t="s">
        <v>107</v>
      </c>
      <c r="C187" s="9" t="s">
        <v>120</v>
      </c>
      <c r="D187" s="10" t="s">
        <v>121</v>
      </c>
      <c r="E187" s="23" t="s">
        <v>136</v>
      </c>
      <c r="F187" s="35" t="s">
        <v>122</v>
      </c>
      <c r="G187" s="23" t="s">
        <v>137</v>
      </c>
      <c r="H187" s="33" t="s">
        <v>138</v>
      </c>
      <c r="I187" s="33" t="s">
        <v>139</v>
      </c>
      <c r="J187" s="33" t="s">
        <v>126</v>
      </c>
      <c r="K187" s="33" t="s">
        <v>127</v>
      </c>
      <c r="L187" s="11">
        <f t="shared" si="97"/>
        <v>4247891.0999999996</v>
      </c>
      <c r="M187" s="11">
        <f>3*955112.98+66*1169.2</f>
        <v>2942506.14</v>
      </c>
      <c r="N187" s="11">
        <f>3857.41*66</f>
        <v>254589.06</v>
      </c>
      <c r="O187" s="24">
        <f>15921.15*66</f>
        <v>1050795.8999999999</v>
      </c>
      <c r="P187" s="14">
        <f>2*955112.98+46*20947.76</f>
        <v>2873822.92</v>
      </c>
      <c r="Q187" s="14">
        <f>5*955112.98+112*20947.76</f>
        <v>7121714.0199999996</v>
      </c>
    </row>
    <row r="188" spans="1:17" ht="228" customHeight="1">
      <c r="A188" s="106"/>
      <c r="B188" s="104"/>
      <c r="C188" s="9" t="s">
        <v>128</v>
      </c>
      <c r="D188" s="10" t="s">
        <v>121</v>
      </c>
      <c r="E188" s="25" t="s">
        <v>140</v>
      </c>
      <c r="F188" s="25" t="s">
        <v>141</v>
      </c>
      <c r="G188" s="25" t="s">
        <v>129</v>
      </c>
      <c r="H188" s="33" t="s">
        <v>142</v>
      </c>
      <c r="I188" s="33" t="s">
        <v>143</v>
      </c>
      <c r="J188" s="33" t="s">
        <v>126</v>
      </c>
      <c r="K188" s="33" t="s">
        <v>127</v>
      </c>
      <c r="L188" s="13">
        <f t="shared" si="97"/>
        <v>3254329.2699999996</v>
      </c>
      <c r="M188" s="13">
        <f>3*756594.85+1169.2*47</f>
        <v>2324736.9499999997</v>
      </c>
      <c r="N188" s="13">
        <f>3857.41*47</f>
        <v>181298.27</v>
      </c>
      <c r="O188" s="19">
        <f>15921.15*47</f>
        <v>748294.04999999993</v>
      </c>
      <c r="P188" s="14">
        <f>6*756594.85+20947.76*99</f>
        <v>6613397.3399999999</v>
      </c>
      <c r="Q188" s="14">
        <f>756594.85*4+20947.76*61</f>
        <v>4304192.76</v>
      </c>
    </row>
    <row r="189" spans="1:17" ht="96.75" customHeight="1">
      <c r="A189" s="106"/>
      <c r="B189" s="104"/>
      <c r="C189" s="15" t="s">
        <v>102</v>
      </c>
      <c r="D189" s="16" t="s">
        <v>101</v>
      </c>
      <c r="E189" s="25">
        <v>4</v>
      </c>
      <c r="F189" s="25">
        <v>3</v>
      </c>
      <c r="G189" s="25">
        <v>3</v>
      </c>
      <c r="H189" s="18">
        <f>I189</f>
        <v>27251.919999999998</v>
      </c>
      <c r="I189" s="18">
        <v>27251.919999999998</v>
      </c>
      <c r="J189" s="18" t="s">
        <v>103</v>
      </c>
      <c r="K189" s="18" t="s">
        <v>103</v>
      </c>
      <c r="L189" s="13">
        <f>SUM(M189)</f>
        <v>109007.67999999999</v>
      </c>
      <c r="M189" s="26">
        <f>E189*I189</f>
        <v>109007.67999999999</v>
      </c>
      <c r="N189" s="26"/>
      <c r="O189" s="26"/>
      <c r="P189" s="14">
        <f t="shared" si="98"/>
        <v>81755.759999999995</v>
      </c>
      <c r="Q189" s="14">
        <f t="shared" si="99"/>
        <v>81755.759999999995</v>
      </c>
    </row>
    <row r="190" spans="1:17" ht="120">
      <c r="A190" s="106"/>
      <c r="B190" s="53"/>
      <c r="C190" s="9" t="s">
        <v>144</v>
      </c>
      <c r="D190" s="16" t="s">
        <v>101</v>
      </c>
      <c r="E190" s="18">
        <v>1</v>
      </c>
      <c r="F190" s="18">
        <v>1</v>
      </c>
      <c r="G190" s="18">
        <v>1</v>
      </c>
      <c r="H190" s="18">
        <f>SUM(I190:K190)</f>
        <v>217702</v>
      </c>
      <c r="I190" s="18">
        <v>217702</v>
      </c>
      <c r="J190" s="18"/>
      <c r="K190" s="18"/>
      <c r="L190" s="26">
        <f>SUM(M190:O190)</f>
        <v>217702</v>
      </c>
      <c r="M190" s="26">
        <f>E190*I190</f>
        <v>217702</v>
      </c>
      <c r="N190" s="26">
        <f>E190*J190</f>
        <v>0</v>
      </c>
      <c r="O190" s="26">
        <f>K190*E190</f>
        <v>0</v>
      </c>
      <c r="P190" s="14">
        <f t="shared" si="98"/>
        <v>217702</v>
      </c>
      <c r="Q190" s="14">
        <f t="shared" si="99"/>
        <v>217702</v>
      </c>
    </row>
    <row r="191" spans="1:17" ht="15">
      <c r="A191" s="106"/>
      <c r="B191" s="53"/>
      <c r="C191" s="21" t="s">
        <v>106</v>
      </c>
      <c r="D191" s="16"/>
      <c r="E191" s="25" t="s">
        <v>145</v>
      </c>
      <c r="F191" s="25" t="s">
        <v>146</v>
      </c>
      <c r="G191" s="25" t="s">
        <v>147</v>
      </c>
      <c r="H191" s="25" t="s">
        <v>104</v>
      </c>
      <c r="I191" s="25" t="s">
        <v>104</v>
      </c>
      <c r="J191" s="25" t="s">
        <v>104</v>
      </c>
      <c r="K191" s="25" t="s">
        <v>104</v>
      </c>
      <c r="L191" s="25">
        <f>SUM(M191:O191)</f>
        <v>7828930.0499999989</v>
      </c>
      <c r="M191" s="25">
        <f t="shared" ref="M191:O191" si="101">SUM(M187:M190)</f>
        <v>5593952.7699999996</v>
      </c>
      <c r="N191" s="25">
        <f t="shared" si="101"/>
        <v>435887.32999999996</v>
      </c>
      <c r="O191" s="25">
        <f t="shared" si="101"/>
        <v>1799089.9499999997</v>
      </c>
      <c r="P191" s="25">
        <f>SUM(P187:P190)</f>
        <v>9786678.0199999996</v>
      </c>
      <c r="Q191" s="25">
        <f>SUM(Q187:Q190)</f>
        <v>11725364.539999999</v>
      </c>
    </row>
    <row r="192" spans="1:17" ht="227.25" customHeight="1">
      <c r="A192" s="106"/>
      <c r="B192" s="53" t="s">
        <v>108</v>
      </c>
      <c r="C192" s="9" t="s">
        <v>128</v>
      </c>
      <c r="D192" s="10" t="s">
        <v>121</v>
      </c>
      <c r="E192" s="33" t="s">
        <v>148</v>
      </c>
      <c r="F192" s="33" t="s">
        <v>148</v>
      </c>
      <c r="G192" s="33" t="s">
        <v>149</v>
      </c>
      <c r="H192" s="33" t="s">
        <v>150</v>
      </c>
      <c r="I192" s="33" t="s">
        <v>151</v>
      </c>
      <c r="J192" s="33" t="s">
        <v>126</v>
      </c>
      <c r="K192" s="33" t="s">
        <v>127</v>
      </c>
      <c r="L192" s="26">
        <f>SUM(M192:O192)</f>
        <v>956431.65700000001</v>
      </c>
      <c r="M192" s="26">
        <f>808407.62+1367.67*7</f>
        <v>817981.30999999994</v>
      </c>
      <c r="N192" s="26">
        <f>7*3857.471</f>
        <v>27002.296999999999</v>
      </c>
      <c r="O192" s="26">
        <f>7*15921.15</f>
        <v>111448.05</v>
      </c>
      <c r="P192" s="36">
        <f>808407.62+7*21146.23</f>
        <v>956431.23</v>
      </c>
      <c r="Q192" s="14">
        <f>2*808407.62+17*21146.23</f>
        <v>1976301.15</v>
      </c>
    </row>
    <row r="193" spans="1:17" ht="15">
      <c r="A193" s="106"/>
      <c r="B193" s="53"/>
      <c r="C193" s="21" t="s">
        <v>106</v>
      </c>
      <c r="D193" s="16"/>
      <c r="E193" s="25" t="s">
        <v>148</v>
      </c>
      <c r="F193" s="25" t="s">
        <v>148</v>
      </c>
      <c r="G193" s="25" t="s">
        <v>149</v>
      </c>
      <c r="H193" s="25" t="s">
        <v>104</v>
      </c>
      <c r="I193" s="25" t="s">
        <v>104</v>
      </c>
      <c r="J193" s="25" t="s">
        <v>104</v>
      </c>
      <c r="K193" s="25" t="s">
        <v>104</v>
      </c>
      <c r="L193" s="25">
        <f>SUM(L192:L192)</f>
        <v>956431.65700000001</v>
      </c>
      <c r="M193" s="25">
        <f>SUM(M192:M192)</f>
        <v>817981.30999999994</v>
      </c>
      <c r="N193" s="25">
        <f>SUM(N192:N192)</f>
        <v>27002.296999999999</v>
      </c>
      <c r="O193" s="25">
        <f>SUM(O192:O192)</f>
        <v>111448.05</v>
      </c>
      <c r="P193" s="14">
        <f>SUM(P192)</f>
        <v>956431.23</v>
      </c>
      <c r="Q193" s="14">
        <f>SUM(Q192)</f>
        <v>1976301.15</v>
      </c>
    </row>
    <row r="194" spans="1:17" ht="168.75" customHeight="1">
      <c r="A194" s="106"/>
      <c r="B194" s="105" t="s">
        <v>109</v>
      </c>
      <c r="C194" s="9" t="s">
        <v>110</v>
      </c>
      <c r="D194" s="16" t="s">
        <v>101</v>
      </c>
      <c r="E194" s="25">
        <v>153</v>
      </c>
      <c r="F194" s="25">
        <v>156</v>
      </c>
      <c r="G194" s="25">
        <v>162</v>
      </c>
      <c r="H194" s="18">
        <f>I194</f>
        <v>3461.18</v>
      </c>
      <c r="I194" s="18">
        <v>3461.18</v>
      </c>
      <c r="J194" s="18" t="s">
        <v>104</v>
      </c>
      <c r="K194" s="18" t="s">
        <v>104</v>
      </c>
      <c r="L194" s="26">
        <f>SUM(M194:O194)</f>
        <v>529560.53999999992</v>
      </c>
      <c r="M194" s="26">
        <f>I194*E194</f>
        <v>529560.53999999992</v>
      </c>
      <c r="N194" s="26" t="s">
        <v>104</v>
      </c>
      <c r="O194" s="26" t="s">
        <v>104</v>
      </c>
      <c r="P194" s="14">
        <f t="shared" si="98"/>
        <v>539944.07999999996</v>
      </c>
      <c r="Q194" s="14">
        <f t="shared" si="99"/>
        <v>560711.15999999992</v>
      </c>
    </row>
    <row r="195" spans="1:17" ht="164.25" customHeight="1">
      <c r="A195" s="106"/>
      <c r="B195" s="105"/>
      <c r="C195" s="9" t="s">
        <v>111</v>
      </c>
      <c r="D195" s="16" t="s">
        <v>101</v>
      </c>
      <c r="E195" s="25">
        <v>147</v>
      </c>
      <c r="F195" s="25">
        <v>110</v>
      </c>
      <c r="G195" s="25">
        <v>115</v>
      </c>
      <c r="H195" s="18">
        <v>3829.24</v>
      </c>
      <c r="I195" s="18">
        <v>4783.41</v>
      </c>
      <c r="J195" s="18" t="s">
        <v>104</v>
      </c>
      <c r="K195" s="18" t="s">
        <v>104</v>
      </c>
      <c r="L195" s="26">
        <f>SUM(M195:O195)</f>
        <v>703161.27</v>
      </c>
      <c r="M195" s="26">
        <f>I195*E195</f>
        <v>703161.27</v>
      </c>
      <c r="N195" s="26" t="s">
        <v>104</v>
      </c>
      <c r="O195" s="37" t="s">
        <v>104</v>
      </c>
      <c r="P195" s="14">
        <f t="shared" si="98"/>
        <v>421216.39999999997</v>
      </c>
      <c r="Q195" s="14">
        <f t="shared" si="99"/>
        <v>440362.6</v>
      </c>
    </row>
    <row r="196" spans="1:17" ht="15">
      <c r="A196" s="106"/>
      <c r="B196" s="29"/>
      <c r="C196" s="21" t="s">
        <v>106</v>
      </c>
      <c r="D196" s="29"/>
      <c r="E196" s="25">
        <f>SUM(E194:E195)</f>
        <v>300</v>
      </c>
      <c r="F196" s="25">
        <f t="shared" ref="F196:G196" si="102">SUM(F194:F195)</f>
        <v>266</v>
      </c>
      <c r="G196" s="25">
        <f t="shared" si="102"/>
        <v>277</v>
      </c>
      <c r="H196" s="25" t="s">
        <v>104</v>
      </c>
      <c r="I196" s="25" t="s">
        <v>104</v>
      </c>
      <c r="J196" s="25" t="s">
        <v>104</v>
      </c>
      <c r="K196" s="25">
        <f t="shared" ref="K196:Q196" si="103">SUM(K194:K195)</f>
        <v>0</v>
      </c>
      <c r="L196" s="25">
        <f>SUM(L194:L195)</f>
        <v>1232721.81</v>
      </c>
      <c r="M196" s="25">
        <f>SUM(M194:M195)</f>
        <v>1232721.81</v>
      </c>
      <c r="N196" s="25">
        <f t="shared" si="103"/>
        <v>0</v>
      </c>
      <c r="O196" s="25">
        <f t="shared" si="103"/>
        <v>0</v>
      </c>
      <c r="P196" s="25">
        <f t="shared" si="103"/>
        <v>961160.48</v>
      </c>
      <c r="Q196" s="25">
        <f t="shared" si="103"/>
        <v>1001073.7599999999</v>
      </c>
    </row>
    <row r="197" spans="1:17" ht="14.25">
      <c r="A197" s="106"/>
      <c r="B197" s="30" t="s">
        <v>112</v>
      </c>
      <c r="C197" s="30"/>
      <c r="D197" s="29"/>
      <c r="E197" s="29"/>
      <c r="F197" s="29"/>
      <c r="G197" s="29"/>
      <c r="H197" s="29"/>
      <c r="I197" s="29"/>
      <c r="J197" s="29"/>
      <c r="K197" s="29"/>
      <c r="L197" s="29">
        <f>L186+L191+L193+L196</f>
        <v>15938128.856999999</v>
      </c>
      <c r="M197" s="29">
        <f t="shared" ref="M197:Q197" si="104">M186+M191+M193+M196</f>
        <v>11448395.310000001</v>
      </c>
      <c r="N197" s="29">
        <f t="shared" si="104"/>
        <v>875632.49699999997</v>
      </c>
      <c r="O197" s="29">
        <f t="shared" si="104"/>
        <v>3614101.05</v>
      </c>
      <c r="P197" s="29">
        <f t="shared" si="104"/>
        <v>17665776.350000001</v>
      </c>
      <c r="Q197" s="29">
        <f t="shared" si="104"/>
        <v>20728437.989999998</v>
      </c>
    </row>
    <row r="198" spans="1:17" ht="30" customHeight="1">
      <c r="A198" s="55" t="s">
        <v>156</v>
      </c>
    </row>
    <row r="199" spans="1:17" ht="30">
      <c r="A199" s="43" t="s">
        <v>3</v>
      </c>
      <c r="B199" s="43" t="s">
        <v>81</v>
      </c>
      <c r="C199" s="43" t="s">
        <v>4</v>
      </c>
      <c r="D199" s="100" t="s">
        <v>5</v>
      </c>
      <c r="E199" s="100"/>
      <c r="F199" s="100"/>
      <c r="G199" s="101" t="s">
        <v>6</v>
      </c>
      <c r="H199" s="101" t="s">
        <v>7</v>
      </c>
      <c r="I199" s="101"/>
      <c r="J199" s="101"/>
    </row>
    <row r="200" spans="1:17" ht="15">
      <c r="A200" s="45"/>
      <c r="B200" s="45"/>
      <c r="C200" s="45"/>
      <c r="D200" s="50" t="s">
        <v>8</v>
      </c>
      <c r="E200" s="50" t="s">
        <v>9</v>
      </c>
      <c r="F200" s="50" t="s">
        <v>10</v>
      </c>
      <c r="G200" s="101"/>
      <c r="H200" s="50">
        <v>2016</v>
      </c>
      <c r="I200" s="50" t="s">
        <v>9</v>
      </c>
      <c r="J200" s="50" t="s">
        <v>10</v>
      </c>
    </row>
    <row r="201" spans="1:17" ht="75">
      <c r="A201" s="42" t="s">
        <v>13</v>
      </c>
      <c r="B201" s="42" t="s">
        <v>14</v>
      </c>
      <c r="C201" s="43" t="s">
        <v>15</v>
      </c>
      <c r="D201" s="42" t="s">
        <v>16</v>
      </c>
      <c r="E201" s="42" t="s">
        <v>16</v>
      </c>
      <c r="F201" s="42" t="s">
        <v>16</v>
      </c>
      <c r="G201" s="43" t="s">
        <v>17</v>
      </c>
      <c r="H201" s="43" t="s">
        <v>17</v>
      </c>
      <c r="I201" s="43" t="s">
        <v>17</v>
      </c>
      <c r="J201" s="43" t="s">
        <v>17</v>
      </c>
    </row>
    <row r="202" spans="1:17" ht="15">
      <c r="A202" s="58" t="s">
        <v>157</v>
      </c>
      <c r="B202" s="45"/>
      <c r="C202" s="45"/>
      <c r="D202" s="45">
        <f>SUM(D203:D204)</f>
        <v>1550</v>
      </c>
      <c r="E202" s="45">
        <f>SUM(E203:E204)</f>
        <v>1550</v>
      </c>
      <c r="F202" s="45">
        <f>SUM(F203:F204)</f>
        <v>1550</v>
      </c>
      <c r="G202" s="45"/>
      <c r="H202" s="56">
        <f>H203+H204</f>
        <v>22307310</v>
      </c>
      <c r="I202" s="56">
        <f>I203+I204</f>
        <v>22307310</v>
      </c>
      <c r="J202" s="56">
        <f>J203+J204</f>
        <v>22307310</v>
      </c>
    </row>
    <row r="203" spans="1:17" ht="86.25" customHeight="1">
      <c r="A203" s="98"/>
      <c r="B203" s="43" t="s">
        <v>158</v>
      </c>
      <c r="C203" s="45" t="s">
        <v>20</v>
      </c>
      <c r="D203" s="48">
        <v>1300</v>
      </c>
      <c r="E203" s="48">
        <v>1300</v>
      </c>
      <c r="F203" s="48">
        <v>1300</v>
      </c>
      <c r="G203" s="46">
        <v>16584.45</v>
      </c>
      <c r="H203" s="46">
        <f>G203*D203</f>
        <v>21559785</v>
      </c>
      <c r="I203" s="46">
        <f>H203</f>
        <v>21559785</v>
      </c>
      <c r="J203" s="46">
        <f>I203</f>
        <v>21559785</v>
      </c>
    </row>
    <row r="204" spans="1:17" ht="63" customHeight="1">
      <c r="A204" s="99"/>
      <c r="B204" s="57" t="s">
        <v>159</v>
      </c>
      <c r="C204" s="45" t="s">
        <v>20</v>
      </c>
      <c r="D204" s="44">
        <v>250</v>
      </c>
      <c r="E204" s="44">
        <v>250</v>
      </c>
      <c r="F204" s="44">
        <v>250</v>
      </c>
      <c r="G204" s="46">
        <v>2990.1</v>
      </c>
      <c r="H204" s="46">
        <f>G204*D204</f>
        <v>747525</v>
      </c>
      <c r="I204" s="46">
        <f t="shared" ref="I204:J205" si="105">H204</f>
        <v>747525</v>
      </c>
      <c r="J204" s="46">
        <f t="shared" si="105"/>
        <v>747525</v>
      </c>
    </row>
    <row r="205" spans="1:17" ht="78.75" customHeight="1">
      <c r="A205" s="50" t="s">
        <v>160</v>
      </c>
      <c r="B205" s="43" t="s">
        <v>158</v>
      </c>
      <c r="C205" s="45" t="s">
        <v>20</v>
      </c>
      <c r="D205" s="48">
        <v>411</v>
      </c>
      <c r="E205" s="48">
        <v>411</v>
      </c>
      <c r="F205" s="48">
        <v>411</v>
      </c>
      <c r="G205" s="46">
        <v>12267.68</v>
      </c>
      <c r="H205" s="46">
        <f>G205*D205</f>
        <v>5042016.4800000004</v>
      </c>
      <c r="I205" s="46">
        <f t="shared" si="105"/>
        <v>5042016.4800000004</v>
      </c>
      <c r="J205" s="46">
        <f t="shared" si="105"/>
        <v>5042016.4800000004</v>
      </c>
    </row>
    <row r="208" spans="1:17">
      <c r="A208" s="54" t="s">
        <v>161</v>
      </c>
    </row>
  </sheetData>
  <sheetProtection password="CF7A" sheet="1" objects="1" scenarios="1"/>
  <mergeCells count="45">
    <mergeCell ref="B183:B186"/>
    <mergeCell ref="B187:B189"/>
    <mergeCell ref="B194:B195"/>
    <mergeCell ref="A96:C96"/>
    <mergeCell ref="A164:A182"/>
    <mergeCell ref="B164:B166"/>
    <mergeCell ref="B169:B172"/>
    <mergeCell ref="B175:B177"/>
    <mergeCell ref="B179:B180"/>
    <mergeCell ref="A148:A163"/>
    <mergeCell ref="B148:B151"/>
    <mergeCell ref="B152:B154"/>
    <mergeCell ref="B156:B158"/>
    <mergeCell ref="B160:B161"/>
    <mergeCell ref="A132:A147"/>
    <mergeCell ref="L6:Q6"/>
    <mergeCell ref="L7:O7"/>
    <mergeCell ref="A3:Q3"/>
    <mergeCell ref="L97:Q97"/>
    <mergeCell ref="A100:A115"/>
    <mergeCell ref="B100:B103"/>
    <mergeCell ref="B104:B106"/>
    <mergeCell ref="B108:B110"/>
    <mergeCell ref="B112:B113"/>
    <mergeCell ref="A97:A98"/>
    <mergeCell ref="B97:B98"/>
    <mergeCell ref="D97:D98"/>
    <mergeCell ref="E97:G97"/>
    <mergeCell ref="H97:K97"/>
    <mergeCell ref="A203:A204"/>
    <mergeCell ref="D199:F199"/>
    <mergeCell ref="G199:G200"/>
    <mergeCell ref="H199:J199"/>
    <mergeCell ref="E6:G6"/>
    <mergeCell ref="H6:K6"/>
    <mergeCell ref="B132:B135"/>
    <mergeCell ref="B136:B138"/>
    <mergeCell ref="B140:B142"/>
    <mergeCell ref="B144:B145"/>
    <mergeCell ref="A116:A131"/>
    <mergeCell ref="B116:B119"/>
    <mergeCell ref="B120:B122"/>
    <mergeCell ref="B124:B126"/>
    <mergeCell ref="B128:B129"/>
    <mergeCell ref="A183:A197"/>
  </mergeCells>
  <pageMargins left="0.51181102362204722" right="0.11811023622047245" top="0.15748031496062992" bottom="0.15748031496062992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3"/>
  <sheetViews>
    <sheetView tabSelected="1" topLeftCell="F1" workbookViewId="0">
      <selection activeCell="A3" sqref="A3:Q3"/>
    </sheetView>
  </sheetViews>
  <sheetFormatPr defaultRowHeight="12.75"/>
  <cols>
    <col min="1" max="1" width="19.42578125" customWidth="1"/>
    <col min="2" max="2" width="19.85546875" customWidth="1"/>
    <col min="3" max="3" width="23.7109375" customWidth="1"/>
    <col min="4" max="4" width="8.7109375" customWidth="1"/>
    <col min="5" max="5" width="12.42578125" customWidth="1"/>
    <col min="6" max="7" width="12.7109375" customWidth="1"/>
    <col min="8" max="8" width="14.140625" bestFit="1" customWidth="1"/>
    <col min="9" max="9" width="16" customWidth="1"/>
    <col min="10" max="10" width="13.85546875" customWidth="1"/>
    <col min="11" max="11" width="12.140625" bestFit="1" customWidth="1"/>
    <col min="12" max="12" width="16.7109375" customWidth="1"/>
    <col min="13" max="13" width="15.42578125" customWidth="1"/>
    <col min="14" max="14" width="14.7109375" customWidth="1"/>
    <col min="15" max="15" width="14.28515625" customWidth="1"/>
    <col min="16" max="16" width="14.140625" customWidth="1"/>
    <col min="17" max="17" width="14.85546875" bestFit="1" customWidth="1"/>
    <col min="19" max="19" width="13.5703125" bestFit="1" customWidth="1"/>
  </cols>
  <sheetData>
    <row r="1" spans="1:19" ht="15">
      <c r="A1" s="1"/>
      <c r="O1" s="3" t="s">
        <v>167</v>
      </c>
    </row>
    <row r="2" spans="1:19" ht="15">
      <c r="O2" s="3" t="s">
        <v>168</v>
      </c>
    </row>
    <row r="3" spans="1:19" ht="18.75">
      <c r="A3" s="108" t="s">
        <v>1</v>
      </c>
      <c r="B3" s="108"/>
      <c r="C3" s="109"/>
      <c r="D3" s="108"/>
      <c r="E3" s="108"/>
      <c r="F3" s="108"/>
      <c r="G3" s="108"/>
      <c r="H3" s="108"/>
      <c r="I3" s="109"/>
      <c r="J3" s="108"/>
      <c r="K3" s="108"/>
      <c r="L3" s="108"/>
      <c r="M3" s="108"/>
      <c r="N3" s="109"/>
      <c r="O3" s="108"/>
      <c r="P3" s="108"/>
      <c r="Q3" s="108"/>
    </row>
    <row r="4" spans="1:19" ht="36.75" customHeight="1">
      <c r="A4" s="6" t="s">
        <v>155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9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45">
      <c r="A6" s="61" t="s">
        <v>3</v>
      </c>
      <c r="B6" s="61" t="s">
        <v>81</v>
      </c>
      <c r="C6" s="61" t="s">
        <v>152</v>
      </c>
      <c r="D6" s="61" t="s">
        <v>4</v>
      </c>
      <c r="E6" s="102" t="s">
        <v>5</v>
      </c>
      <c r="F6" s="102"/>
      <c r="G6" s="102"/>
      <c r="H6" s="103" t="s">
        <v>6</v>
      </c>
      <c r="I6" s="103"/>
      <c r="J6" s="103"/>
      <c r="K6" s="103"/>
      <c r="L6" s="103" t="s">
        <v>7</v>
      </c>
      <c r="M6" s="103"/>
      <c r="N6" s="103"/>
      <c r="O6" s="103"/>
      <c r="P6" s="103"/>
      <c r="Q6" s="103"/>
    </row>
    <row r="7" spans="1:19" ht="60">
      <c r="A7" s="39"/>
      <c r="B7" s="39"/>
      <c r="C7" s="39"/>
      <c r="D7" s="39"/>
      <c r="E7" s="62" t="s">
        <v>8</v>
      </c>
      <c r="F7" s="62" t="s">
        <v>9</v>
      </c>
      <c r="G7" s="62" t="s">
        <v>10</v>
      </c>
      <c r="H7" s="41" t="s">
        <v>79</v>
      </c>
      <c r="I7" s="61" t="s">
        <v>80</v>
      </c>
      <c r="J7" s="41" t="s">
        <v>11</v>
      </c>
      <c r="K7" s="62" t="s">
        <v>12</v>
      </c>
      <c r="L7" s="107" t="s">
        <v>8</v>
      </c>
      <c r="M7" s="107"/>
      <c r="N7" s="107"/>
      <c r="O7" s="107"/>
      <c r="P7" s="62" t="s">
        <v>9</v>
      </c>
      <c r="Q7" s="62" t="s">
        <v>10</v>
      </c>
    </row>
    <row r="8" spans="1:19" ht="43.5" customHeight="1">
      <c r="A8" s="42" t="s">
        <v>13</v>
      </c>
      <c r="B8" s="42" t="s">
        <v>14</v>
      </c>
      <c r="C8" s="42"/>
      <c r="D8" s="60" t="s">
        <v>15</v>
      </c>
      <c r="E8" s="42" t="s">
        <v>16</v>
      </c>
      <c r="F8" s="42" t="s">
        <v>16</v>
      </c>
      <c r="G8" s="42" t="s">
        <v>16</v>
      </c>
      <c r="H8" s="60" t="s">
        <v>17</v>
      </c>
      <c r="I8" s="60" t="s">
        <v>17</v>
      </c>
      <c r="J8" s="60" t="s">
        <v>17</v>
      </c>
      <c r="K8" s="60" t="s">
        <v>17</v>
      </c>
      <c r="L8" s="60" t="s">
        <v>85</v>
      </c>
      <c r="M8" s="60" t="s">
        <v>83</v>
      </c>
      <c r="N8" s="60" t="s">
        <v>84</v>
      </c>
      <c r="O8" s="60" t="s">
        <v>12</v>
      </c>
      <c r="P8" s="60" t="s">
        <v>17</v>
      </c>
      <c r="Q8" s="60" t="s">
        <v>17</v>
      </c>
    </row>
    <row r="9" spans="1:19" ht="15">
      <c r="A9" s="67" t="s">
        <v>18</v>
      </c>
      <c r="B9" s="45"/>
      <c r="C9" s="45"/>
      <c r="D9" s="45"/>
      <c r="E9" s="76"/>
      <c r="F9" s="76"/>
      <c r="G9" s="76"/>
      <c r="H9" s="46"/>
      <c r="I9" s="46"/>
      <c r="J9" s="46"/>
      <c r="K9" s="46"/>
      <c r="L9" s="66">
        <f>L10+L15</f>
        <v>4750077.92</v>
      </c>
      <c r="M9" s="66">
        <f t="shared" ref="M9:Q9" si="0">M10+M15</f>
        <v>1411442.4</v>
      </c>
      <c r="N9" s="66">
        <f t="shared" si="0"/>
        <v>6372720</v>
      </c>
      <c r="O9" s="66">
        <f t="shared" si="0"/>
        <v>12534240.32</v>
      </c>
      <c r="P9" s="66">
        <f t="shared" si="0"/>
        <v>12623346.080000002</v>
      </c>
      <c r="Q9" s="66">
        <f t="shared" si="0"/>
        <v>12623346.080000002</v>
      </c>
    </row>
    <row r="10" spans="1:19" ht="85.5">
      <c r="A10" s="47"/>
      <c r="B10" s="47" t="s">
        <v>76</v>
      </c>
      <c r="C10" s="47"/>
      <c r="D10" s="45"/>
      <c r="E10" s="76"/>
      <c r="F10" s="76"/>
      <c r="G10" s="76"/>
      <c r="H10" s="46"/>
      <c r="I10" s="46"/>
      <c r="J10" s="46"/>
      <c r="K10" s="46"/>
      <c r="L10" s="46">
        <f>L11+L12</f>
        <v>4750077.92</v>
      </c>
      <c r="M10" s="46">
        <f t="shared" ref="M10:Q10" si="1">M11+M12</f>
        <v>1411442.4</v>
      </c>
      <c r="N10" s="46">
        <f t="shared" si="1"/>
        <v>3253642.8</v>
      </c>
      <c r="O10" s="46">
        <f t="shared" si="1"/>
        <v>9415163.1199999992</v>
      </c>
      <c r="P10" s="46">
        <f t="shared" si="1"/>
        <v>9504268.8800000008</v>
      </c>
      <c r="Q10" s="46">
        <f t="shared" si="1"/>
        <v>9504268.8800000008</v>
      </c>
      <c r="S10" s="4"/>
    </row>
    <row r="11" spans="1:19" ht="105">
      <c r="A11" s="42"/>
      <c r="B11" s="44" t="s">
        <v>19</v>
      </c>
      <c r="C11" s="42" t="s">
        <v>0</v>
      </c>
      <c r="D11" s="44" t="s">
        <v>20</v>
      </c>
      <c r="E11" s="85">
        <v>23</v>
      </c>
      <c r="F11" s="85" t="s">
        <v>21</v>
      </c>
      <c r="G11" s="85" t="s">
        <v>21</v>
      </c>
      <c r="H11" s="46">
        <v>47587</v>
      </c>
      <c r="I11" s="46">
        <v>11762.02</v>
      </c>
      <c r="J11" s="46">
        <v>27113.69</v>
      </c>
      <c r="K11" s="46">
        <f>H11+I11+J11</f>
        <v>86462.71</v>
      </c>
      <c r="L11" s="46">
        <f>E11*H11</f>
        <v>1094501</v>
      </c>
      <c r="M11" s="46">
        <f>E11*I11</f>
        <v>270526.46000000002</v>
      </c>
      <c r="N11" s="46">
        <f>E11*J11</f>
        <v>623614.87</v>
      </c>
      <c r="O11" s="46">
        <f>SUM(L11:N11)</f>
        <v>1988642.33</v>
      </c>
      <c r="P11" s="46">
        <f>F11*K11</f>
        <v>2766806.72</v>
      </c>
      <c r="Q11" s="46">
        <f>G11*K11</f>
        <v>2766806.72</v>
      </c>
      <c r="S11" s="4"/>
    </row>
    <row r="12" spans="1:19" ht="15">
      <c r="A12" s="49"/>
      <c r="B12" s="50" t="s">
        <v>24</v>
      </c>
      <c r="C12" s="50"/>
      <c r="D12" s="50" t="s">
        <v>20</v>
      </c>
      <c r="E12" s="85">
        <v>97</v>
      </c>
      <c r="F12" s="85" t="s">
        <v>25</v>
      </c>
      <c r="G12" s="85" t="s">
        <v>25</v>
      </c>
      <c r="H12" s="46">
        <v>37686.36</v>
      </c>
      <c r="I12" s="46">
        <v>11762.02</v>
      </c>
      <c r="J12" s="46">
        <v>27113.69</v>
      </c>
      <c r="K12" s="46">
        <f t="shared" ref="K12:K64" si="2">H12+I12+J12</f>
        <v>76562.070000000007</v>
      </c>
      <c r="L12" s="46">
        <f>E12*H12</f>
        <v>3655576.92</v>
      </c>
      <c r="M12" s="46">
        <f t="shared" ref="M12:M61" si="3">E12*I12</f>
        <v>1140915.94</v>
      </c>
      <c r="N12" s="46">
        <f t="shared" ref="N12:N61" si="4">E12*J12</f>
        <v>2630027.9299999997</v>
      </c>
      <c r="O12" s="46">
        <f t="shared" ref="O12:O61" si="5">SUM(L12:N12)</f>
        <v>7426520.7899999991</v>
      </c>
      <c r="P12" s="46">
        <f t="shared" ref="P12:P61" si="6">F12*K12</f>
        <v>6737462.1600000001</v>
      </c>
      <c r="Q12" s="46">
        <f t="shared" ref="Q12:Q61" si="7">G12*K12</f>
        <v>6737462.1600000001</v>
      </c>
      <c r="S12" s="4"/>
    </row>
    <row r="13" spans="1:19" ht="75" hidden="1">
      <c r="A13" s="42" t="s">
        <v>77</v>
      </c>
      <c r="B13" s="45"/>
      <c r="C13" s="45"/>
      <c r="D13" s="44" t="s">
        <v>20</v>
      </c>
      <c r="E13" s="85" t="s">
        <v>27</v>
      </c>
      <c r="F13" s="85" t="s">
        <v>27</v>
      </c>
      <c r="G13" s="85" t="s">
        <v>27</v>
      </c>
      <c r="H13" s="46"/>
      <c r="I13" s="46"/>
      <c r="J13" s="46"/>
      <c r="K13" s="46">
        <f t="shared" si="2"/>
        <v>0</v>
      </c>
      <c r="L13" s="46">
        <f t="shared" ref="L13:L14" si="8">E13*H13</f>
        <v>0</v>
      </c>
      <c r="M13" s="46">
        <f t="shared" si="3"/>
        <v>0</v>
      </c>
      <c r="N13" s="46">
        <f t="shared" si="4"/>
        <v>0</v>
      </c>
      <c r="O13" s="46">
        <f t="shared" si="5"/>
        <v>0</v>
      </c>
      <c r="P13" s="46">
        <f t="shared" si="6"/>
        <v>0</v>
      </c>
      <c r="Q13" s="46">
        <f t="shared" si="7"/>
        <v>0</v>
      </c>
    </row>
    <row r="14" spans="1:19" ht="15" hidden="1">
      <c r="A14" s="60"/>
      <c r="B14" s="45"/>
      <c r="C14" s="45"/>
      <c r="D14" s="45"/>
      <c r="E14" s="85" t="s">
        <v>27</v>
      </c>
      <c r="F14" s="85" t="s">
        <v>27</v>
      </c>
      <c r="G14" s="85" t="s">
        <v>27</v>
      </c>
      <c r="H14" s="46"/>
      <c r="I14" s="46"/>
      <c r="J14" s="46">
        <v>0</v>
      </c>
      <c r="K14" s="46">
        <f t="shared" si="2"/>
        <v>0</v>
      </c>
      <c r="L14" s="46">
        <f t="shared" si="8"/>
        <v>0</v>
      </c>
      <c r="M14" s="46">
        <f t="shared" si="3"/>
        <v>0</v>
      </c>
      <c r="N14" s="46">
        <f t="shared" si="4"/>
        <v>0</v>
      </c>
      <c r="O14" s="46">
        <f t="shared" si="5"/>
        <v>0</v>
      </c>
      <c r="P14" s="46">
        <f t="shared" si="6"/>
        <v>0</v>
      </c>
      <c r="Q14" s="46">
        <f t="shared" si="7"/>
        <v>0</v>
      </c>
    </row>
    <row r="15" spans="1:19" ht="15">
      <c r="A15" s="50"/>
      <c r="B15" s="50" t="s">
        <v>28</v>
      </c>
      <c r="C15" s="50"/>
      <c r="D15" s="45"/>
      <c r="E15" s="85" t="s">
        <v>27</v>
      </c>
      <c r="F15" s="85" t="s">
        <v>27</v>
      </c>
      <c r="G15" s="85" t="s">
        <v>27</v>
      </c>
      <c r="H15" s="46" t="s">
        <v>23</v>
      </c>
      <c r="I15" s="46"/>
      <c r="J15" s="46">
        <v>25992.31</v>
      </c>
      <c r="K15" s="46">
        <f t="shared" si="2"/>
        <v>25992.31</v>
      </c>
      <c r="L15" s="46"/>
      <c r="M15" s="46">
        <f t="shared" si="3"/>
        <v>0</v>
      </c>
      <c r="N15" s="46">
        <f t="shared" si="4"/>
        <v>3119077.2</v>
      </c>
      <c r="O15" s="46">
        <f t="shared" si="5"/>
        <v>3119077.2</v>
      </c>
      <c r="P15" s="46">
        <f t="shared" si="6"/>
        <v>3119077.2</v>
      </c>
      <c r="Q15" s="46">
        <f t="shared" si="7"/>
        <v>3119077.2</v>
      </c>
    </row>
    <row r="16" spans="1:19" ht="15">
      <c r="A16" s="68" t="s">
        <v>29</v>
      </c>
      <c r="B16" s="50"/>
      <c r="C16" s="50"/>
      <c r="D16" s="45"/>
      <c r="E16" s="85"/>
      <c r="F16" s="85"/>
      <c r="G16" s="85"/>
      <c r="H16" s="46"/>
      <c r="I16" s="46"/>
      <c r="J16" s="46"/>
      <c r="K16" s="46">
        <f t="shared" si="2"/>
        <v>0</v>
      </c>
      <c r="L16" s="66">
        <f>L17+L19</f>
        <v>2191749.33</v>
      </c>
      <c r="M16" s="66">
        <f t="shared" ref="M16:Q16" si="9">M17+M19</f>
        <v>411670.7</v>
      </c>
      <c r="N16" s="66">
        <f t="shared" si="9"/>
        <v>1858710</v>
      </c>
      <c r="O16" s="66">
        <f t="shared" si="9"/>
        <v>4462130.03</v>
      </c>
      <c r="P16" s="66">
        <f t="shared" si="9"/>
        <v>4591866.07</v>
      </c>
      <c r="Q16" s="66">
        <f t="shared" si="9"/>
        <v>4591866.07</v>
      </c>
    </row>
    <row r="17" spans="1:17" ht="85.5">
      <c r="A17" s="51"/>
      <c r="B17" s="47" t="s">
        <v>76</v>
      </c>
      <c r="C17" s="47"/>
      <c r="D17" s="45"/>
      <c r="E17" s="86"/>
      <c r="F17" s="86"/>
      <c r="G17" s="86"/>
      <c r="H17" s="46"/>
      <c r="I17" s="46"/>
      <c r="J17" s="46"/>
      <c r="K17" s="46">
        <f t="shared" si="2"/>
        <v>0</v>
      </c>
      <c r="L17" s="46">
        <f t="shared" ref="L17:Q17" si="10">SUM(L18:L18)</f>
        <v>2191749.33</v>
      </c>
      <c r="M17" s="46">
        <f t="shared" si="10"/>
        <v>411670.7</v>
      </c>
      <c r="N17" s="46">
        <f t="shared" si="10"/>
        <v>948979.14999999991</v>
      </c>
      <c r="O17" s="46">
        <f t="shared" si="10"/>
        <v>3552399.18</v>
      </c>
      <c r="P17" s="46">
        <f t="shared" si="10"/>
        <v>3630150.6</v>
      </c>
      <c r="Q17" s="46">
        <f t="shared" si="10"/>
        <v>3630150.6</v>
      </c>
    </row>
    <row r="18" spans="1:17" ht="105">
      <c r="A18" s="42"/>
      <c r="B18" s="45"/>
      <c r="C18" s="42" t="s">
        <v>30</v>
      </c>
      <c r="D18" s="50" t="s">
        <v>31</v>
      </c>
      <c r="E18" s="85" t="s">
        <v>165</v>
      </c>
      <c r="F18" s="85" t="s">
        <v>166</v>
      </c>
      <c r="G18" s="85" t="s">
        <v>166</v>
      </c>
      <c r="H18" s="46">
        <v>730583.11</v>
      </c>
      <c r="I18" s="46">
        <v>11762.02</v>
      </c>
      <c r="J18" s="46">
        <v>27113.69</v>
      </c>
      <c r="K18" s="46">
        <f t="shared" si="2"/>
        <v>769458.82</v>
      </c>
      <c r="L18" s="46">
        <f>3*H18</f>
        <v>2191749.33</v>
      </c>
      <c r="M18" s="46">
        <f>I18*35</f>
        <v>411670.7</v>
      </c>
      <c r="N18" s="46">
        <f>J18*35</f>
        <v>948979.14999999991</v>
      </c>
      <c r="O18" s="46">
        <f t="shared" si="5"/>
        <v>3552399.18</v>
      </c>
      <c r="P18" s="46">
        <f>O18+77751.42</f>
        <v>3630150.6</v>
      </c>
      <c r="Q18" s="46">
        <f>P18</f>
        <v>3630150.6</v>
      </c>
    </row>
    <row r="19" spans="1:17" ht="15">
      <c r="A19" s="50"/>
      <c r="B19" s="50" t="s">
        <v>28</v>
      </c>
      <c r="C19" s="50"/>
      <c r="D19" s="50" t="s">
        <v>20</v>
      </c>
      <c r="E19" s="85">
        <v>35</v>
      </c>
      <c r="F19" s="85" t="s">
        <v>34</v>
      </c>
      <c r="G19" s="85" t="s">
        <v>34</v>
      </c>
      <c r="H19" s="46" t="s">
        <v>23</v>
      </c>
      <c r="I19" s="46"/>
      <c r="J19" s="46">
        <v>25992.31</v>
      </c>
      <c r="K19" s="46">
        <f t="shared" si="2"/>
        <v>25992.31</v>
      </c>
      <c r="L19" s="46">
        <f t="shared" ref="L19" si="11">E19*H19</f>
        <v>0</v>
      </c>
      <c r="M19" s="46">
        <f t="shared" si="3"/>
        <v>0</v>
      </c>
      <c r="N19" s="46">
        <f t="shared" si="4"/>
        <v>909730.85000000009</v>
      </c>
      <c r="O19" s="46">
        <f t="shared" si="5"/>
        <v>909730.85000000009</v>
      </c>
      <c r="P19" s="46">
        <f t="shared" si="6"/>
        <v>961715.47000000009</v>
      </c>
      <c r="Q19" s="46">
        <f t="shared" si="7"/>
        <v>961715.47000000009</v>
      </c>
    </row>
    <row r="20" spans="1:17" ht="14.25">
      <c r="A20" s="67" t="s">
        <v>35</v>
      </c>
      <c r="B20" s="69"/>
      <c r="C20" s="69"/>
      <c r="D20" s="69"/>
      <c r="E20" s="87"/>
      <c r="F20" s="87"/>
      <c r="G20" s="87"/>
      <c r="H20" s="66"/>
      <c r="I20" s="66"/>
      <c r="J20" s="66"/>
      <c r="K20" s="66">
        <f t="shared" si="2"/>
        <v>0</v>
      </c>
      <c r="L20" s="66">
        <f>L21+L26</f>
        <v>8170899.6600000001</v>
      </c>
      <c r="M20" s="66">
        <f t="shared" ref="M20:Q20" si="12">M21+M26</f>
        <v>1411442.4</v>
      </c>
      <c r="N20" s="66">
        <f t="shared" si="12"/>
        <v>6372720</v>
      </c>
      <c r="O20" s="66">
        <f t="shared" si="12"/>
        <v>15955062.060000002</v>
      </c>
      <c r="P20" s="66">
        <f t="shared" si="12"/>
        <v>16978176.650000002</v>
      </c>
      <c r="Q20" s="66">
        <f t="shared" si="12"/>
        <v>16978176.650000002</v>
      </c>
    </row>
    <row r="21" spans="1:17" ht="85.5">
      <c r="A21" s="42"/>
      <c r="B21" s="47" t="s">
        <v>76</v>
      </c>
      <c r="C21" s="47"/>
      <c r="D21" s="45"/>
      <c r="E21" s="86"/>
      <c r="F21" s="86"/>
      <c r="G21" s="86"/>
      <c r="H21" s="46"/>
      <c r="I21" s="46"/>
      <c r="J21" s="46"/>
      <c r="K21" s="46">
        <f t="shared" si="2"/>
        <v>0</v>
      </c>
      <c r="L21" s="46">
        <f>SUM(L22:L25)</f>
        <v>8170899.6600000001</v>
      </c>
      <c r="M21" s="46">
        <f t="shared" ref="M21:Q21" si="13">SUM(M22:M25)</f>
        <v>1411442.4</v>
      </c>
      <c r="N21" s="46">
        <f t="shared" si="13"/>
        <v>3253642.8</v>
      </c>
      <c r="O21" s="46">
        <f t="shared" si="13"/>
        <v>12835984.860000003</v>
      </c>
      <c r="P21" s="46">
        <f t="shared" si="13"/>
        <v>13859099.450000001</v>
      </c>
      <c r="Q21" s="46">
        <f t="shared" si="13"/>
        <v>13859099.450000001</v>
      </c>
    </row>
    <row r="22" spans="1:17" ht="105">
      <c r="A22" s="42"/>
      <c r="B22" s="44" t="s">
        <v>19</v>
      </c>
      <c r="C22" s="42" t="s">
        <v>0</v>
      </c>
      <c r="D22" s="50" t="s">
        <v>20</v>
      </c>
      <c r="E22" s="85">
        <v>16</v>
      </c>
      <c r="F22" s="85">
        <v>29</v>
      </c>
      <c r="G22" s="85">
        <v>29</v>
      </c>
      <c r="H22" s="46">
        <v>41608.51</v>
      </c>
      <c r="I22" s="46">
        <v>11762.02</v>
      </c>
      <c r="J22" s="46">
        <v>27113.69</v>
      </c>
      <c r="K22" s="46">
        <f t="shared" si="2"/>
        <v>80484.22</v>
      </c>
      <c r="L22" s="46">
        <f>E22*H22</f>
        <v>665736.16</v>
      </c>
      <c r="M22" s="46">
        <f t="shared" si="3"/>
        <v>188192.32</v>
      </c>
      <c r="N22" s="46">
        <f t="shared" si="4"/>
        <v>433819.04</v>
      </c>
      <c r="O22" s="46">
        <f t="shared" si="5"/>
        <v>1287747.52</v>
      </c>
      <c r="P22" s="46">
        <f t="shared" si="6"/>
        <v>2334042.38</v>
      </c>
      <c r="Q22" s="46">
        <f t="shared" si="7"/>
        <v>2334042.38</v>
      </c>
    </row>
    <row r="23" spans="1:17" ht="15">
      <c r="A23" s="49"/>
      <c r="B23" s="44" t="s">
        <v>24</v>
      </c>
      <c r="C23" s="44"/>
      <c r="D23" s="44" t="s">
        <v>20</v>
      </c>
      <c r="E23" s="85">
        <v>46</v>
      </c>
      <c r="F23" s="85">
        <v>43</v>
      </c>
      <c r="G23" s="85">
        <v>43</v>
      </c>
      <c r="H23" s="46">
        <v>32991.18</v>
      </c>
      <c r="I23" s="46">
        <v>11762.02</v>
      </c>
      <c r="J23" s="46">
        <v>27113.69</v>
      </c>
      <c r="K23" s="46">
        <f t="shared" si="2"/>
        <v>71866.89</v>
      </c>
      <c r="L23" s="46">
        <f t="shared" ref="L23:L68" si="14">E23*H23</f>
        <v>1517594.28</v>
      </c>
      <c r="M23" s="46">
        <f t="shared" si="3"/>
        <v>541052.92000000004</v>
      </c>
      <c r="N23" s="46">
        <f t="shared" si="4"/>
        <v>1247229.74</v>
      </c>
      <c r="O23" s="46">
        <f t="shared" si="5"/>
        <v>3305876.9400000004</v>
      </c>
      <c r="P23" s="46">
        <f t="shared" si="6"/>
        <v>3090276.27</v>
      </c>
      <c r="Q23" s="46">
        <f t="shared" si="7"/>
        <v>3090276.27</v>
      </c>
    </row>
    <row r="24" spans="1:17" ht="105">
      <c r="A24" s="42"/>
      <c r="B24" s="44" t="s">
        <v>24</v>
      </c>
      <c r="C24" s="42" t="s">
        <v>38</v>
      </c>
      <c r="D24" s="50" t="s">
        <v>20</v>
      </c>
      <c r="E24" s="85">
        <v>36</v>
      </c>
      <c r="F24" s="85">
        <v>48</v>
      </c>
      <c r="G24" s="85">
        <v>48</v>
      </c>
      <c r="H24" s="46">
        <v>136848.89000000001</v>
      </c>
      <c r="I24" s="46">
        <v>11762.02</v>
      </c>
      <c r="J24" s="46">
        <v>27113.69</v>
      </c>
      <c r="K24" s="46">
        <f t="shared" si="2"/>
        <v>175724.6</v>
      </c>
      <c r="L24" s="46">
        <f t="shared" si="14"/>
        <v>4926560.040000001</v>
      </c>
      <c r="M24" s="46">
        <f t="shared" si="3"/>
        <v>423432.72000000003</v>
      </c>
      <c r="N24" s="46">
        <f t="shared" si="4"/>
        <v>976092.84</v>
      </c>
      <c r="O24" s="46">
        <f t="shared" si="5"/>
        <v>6326085.6000000006</v>
      </c>
      <c r="P24" s="46">
        <f t="shared" si="6"/>
        <v>8434780.8000000007</v>
      </c>
      <c r="Q24" s="46">
        <f t="shared" si="7"/>
        <v>8434780.8000000007</v>
      </c>
    </row>
    <row r="25" spans="1:17" ht="120">
      <c r="A25" s="42"/>
      <c r="B25" s="44" t="s">
        <v>24</v>
      </c>
      <c r="C25" s="65" t="s">
        <v>162</v>
      </c>
      <c r="D25" s="50" t="s">
        <v>20</v>
      </c>
      <c r="E25" s="85">
        <v>22</v>
      </c>
      <c r="F25" s="85"/>
      <c r="G25" s="85"/>
      <c r="H25" s="46">
        <v>48227.69</v>
      </c>
      <c r="I25" s="46" t="s">
        <v>163</v>
      </c>
      <c r="J25" s="46" t="s">
        <v>164</v>
      </c>
      <c r="K25" s="46">
        <f t="shared" si="2"/>
        <v>87103.400000000009</v>
      </c>
      <c r="L25" s="46">
        <f t="shared" si="14"/>
        <v>1061009.1800000002</v>
      </c>
      <c r="M25" s="46">
        <f t="shared" si="3"/>
        <v>258764.44</v>
      </c>
      <c r="N25" s="46">
        <f t="shared" si="4"/>
        <v>596501.17999999993</v>
      </c>
      <c r="O25" s="46">
        <f t="shared" si="5"/>
        <v>1916274.8</v>
      </c>
      <c r="P25" s="46">
        <f t="shared" si="6"/>
        <v>0</v>
      </c>
      <c r="Q25" s="46">
        <f t="shared" si="7"/>
        <v>0</v>
      </c>
    </row>
    <row r="26" spans="1:17" ht="15">
      <c r="A26" s="44"/>
      <c r="B26" s="44" t="s">
        <v>28</v>
      </c>
      <c r="C26" s="44"/>
      <c r="D26" s="50" t="s">
        <v>20</v>
      </c>
      <c r="E26" s="85" t="s">
        <v>27</v>
      </c>
      <c r="F26" s="85" t="s">
        <v>27</v>
      </c>
      <c r="G26" s="85" t="s">
        <v>27</v>
      </c>
      <c r="H26" s="46" t="s">
        <v>23</v>
      </c>
      <c r="I26" s="46"/>
      <c r="J26" s="46">
        <v>25992.31</v>
      </c>
      <c r="K26" s="46">
        <f t="shared" si="2"/>
        <v>25992.31</v>
      </c>
      <c r="L26" s="46">
        <f t="shared" si="14"/>
        <v>0</v>
      </c>
      <c r="M26" s="46">
        <f t="shared" si="3"/>
        <v>0</v>
      </c>
      <c r="N26" s="46">
        <f t="shared" si="4"/>
        <v>3119077.2</v>
      </c>
      <c r="O26" s="46">
        <f t="shared" si="5"/>
        <v>3119077.2</v>
      </c>
      <c r="P26" s="46">
        <f t="shared" si="6"/>
        <v>3119077.2</v>
      </c>
      <c r="Q26" s="46">
        <f t="shared" si="7"/>
        <v>3119077.2</v>
      </c>
    </row>
    <row r="27" spans="1:17" ht="14.25">
      <c r="A27" s="67" t="s">
        <v>40</v>
      </c>
      <c r="B27" s="70"/>
      <c r="C27" s="70"/>
      <c r="D27" s="70"/>
      <c r="E27" s="87"/>
      <c r="F27" s="87"/>
      <c r="G27" s="87"/>
      <c r="H27" s="66"/>
      <c r="I27" s="66"/>
      <c r="J27" s="66"/>
      <c r="K27" s="66">
        <f t="shared" si="2"/>
        <v>0</v>
      </c>
      <c r="L27" s="66">
        <f>L28+L32</f>
        <v>3887448.5700000003</v>
      </c>
      <c r="M27" s="66">
        <f t="shared" ref="M27:Q27" si="15">M28+M32</f>
        <v>1235012.1000000001</v>
      </c>
      <c r="N27" s="66">
        <f t="shared" si="15"/>
        <v>5576130</v>
      </c>
      <c r="O27" s="66">
        <f t="shared" si="15"/>
        <v>10698590.67</v>
      </c>
      <c r="P27" s="66">
        <f t="shared" si="15"/>
        <v>10536804.469999999</v>
      </c>
      <c r="Q27" s="66">
        <f t="shared" si="15"/>
        <v>10536804.469999999</v>
      </c>
    </row>
    <row r="28" spans="1:17" ht="85.5">
      <c r="A28" s="42"/>
      <c r="B28" s="47" t="s">
        <v>76</v>
      </c>
      <c r="C28" s="47"/>
      <c r="D28" s="52"/>
      <c r="E28" s="86"/>
      <c r="F28" s="86"/>
      <c r="G28" s="86"/>
      <c r="H28" s="46"/>
      <c r="I28" s="46"/>
      <c r="J28" s="46"/>
      <c r="K28" s="46">
        <f t="shared" si="2"/>
        <v>0</v>
      </c>
      <c r="L28" s="46">
        <f>SUM(L29:L31)</f>
        <v>3887448.5700000003</v>
      </c>
      <c r="M28" s="46">
        <f t="shared" ref="M28:Q28" si="16">SUM(M29:M31)</f>
        <v>1235012.1000000001</v>
      </c>
      <c r="N28" s="46">
        <f t="shared" si="16"/>
        <v>2846937.45</v>
      </c>
      <c r="O28" s="46">
        <f t="shared" si="16"/>
        <v>7969398.1199999992</v>
      </c>
      <c r="P28" s="46">
        <f t="shared" si="16"/>
        <v>7781619.6099999994</v>
      </c>
      <c r="Q28" s="46">
        <f t="shared" si="16"/>
        <v>7781619.6099999994</v>
      </c>
    </row>
    <row r="29" spans="1:17" ht="105">
      <c r="A29" s="42"/>
      <c r="B29" s="44" t="s">
        <v>19</v>
      </c>
      <c r="C29" s="42" t="s">
        <v>0</v>
      </c>
      <c r="D29" s="50" t="s">
        <v>20</v>
      </c>
      <c r="E29" s="85">
        <v>12</v>
      </c>
      <c r="F29" s="85" t="s">
        <v>41</v>
      </c>
      <c r="G29" s="85" t="s">
        <v>41</v>
      </c>
      <c r="H29" s="46">
        <v>41608.51</v>
      </c>
      <c r="I29" s="46">
        <v>11762.02</v>
      </c>
      <c r="J29" s="46">
        <v>27113.69</v>
      </c>
      <c r="K29" s="46">
        <f t="shared" si="2"/>
        <v>80484.22</v>
      </c>
      <c r="L29" s="46">
        <f t="shared" si="14"/>
        <v>499302.12</v>
      </c>
      <c r="M29" s="46">
        <f t="shared" si="3"/>
        <v>141144.24</v>
      </c>
      <c r="N29" s="46">
        <f t="shared" si="4"/>
        <v>325364.27999999997</v>
      </c>
      <c r="O29" s="46">
        <f t="shared" si="5"/>
        <v>965810.6399999999</v>
      </c>
      <c r="P29" s="46">
        <f t="shared" si="6"/>
        <v>1529200.18</v>
      </c>
      <c r="Q29" s="46">
        <f t="shared" si="7"/>
        <v>1529200.18</v>
      </c>
    </row>
    <row r="30" spans="1:17" ht="15">
      <c r="A30" s="49"/>
      <c r="B30" s="44" t="s">
        <v>24</v>
      </c>
      <c r="C30" s="44"/>
      <c r="D30" s="44" t="s">
        <v>20</v>
      </c>
      <c r="E30" s="85">
        <v>72</v>
      </c>
      <c r="F30" s="85" t="s">
        <v>42</v>
      </c>
      <c r="G30" s="85" t="s">
        <v>42</v>
      </c>
      <c r="H30" s="46">
        <v>32991.18</v>
      </c>
      <c r="I30" s="46">
        <v>11762.02</v>
      </c>
      <c r="J30" s="46">
        <v>27113.69</v>
      </c>
      <c r="K30" s="46">
        <f t="shared" si="2"/>
        <v>71866.89</v>
      </c>
      <c r="L30" s="46">
        <f t="shared" si="14"/>
        <v>2375364.96</v>
      </c>
      <c r="M30" s="46">
        <f t="shared" si="3"/>
        <v>846865.44000000006</v>
      </c>
      <c r="N30" s="46">
        <f t="shared" si="4"/>
        <v>1952185.68</v>
      </c>
      <c r="O30" s="46">
        <f t="shared" si="5"/>
        <v>5174416.08</v>
      </c>
      <c r="P30" s="46">
        <f t="shared" si="6"/>
        <v>6252419.4299999997</v>
      </c>
      <c r="Q30" s="46">
        <f t="shared" si="7"/>
        <v>6252419.4299999997</v>
      </c>
    </row>
    <row r="31" spans="1:17" ht="120">
      <c r="A31" s="49"/>
      <c r="B31" s="44" t="s">
        <v>24</v>
      </c>
      <c r="C31" s="65" t="s">
        <v>162</v>
      </c>
      <c r="D31" s="50" t="s">
        <v>20</v>
      </c>
      <c r="E31" s="85">
        <v>21</v>
      </c>
      <c r="F31" s="85"/>
      <c r="G31" s="85"/>
      <c r="H31" s="46">
        <v>48227.69</v>
      </c>
      <c r="I31" s="46" t="s">
        <v>163</v>
      </c>
      <c r="J31" s="46" t="s">
        <v>164</v>
      </c>
      <c r="K31" s="46">
        <f t="shared" ref="K31" si="17">H31+I31+J31</f>
        <v>87103.400000000009</v>
      </c>
      <c r="L31" s="46">
        <f t="shared" si="14"/>
        <v>1012781.49</v>
      </c>
      <c r="M31" s="46">
        <f t="shared" si="3"/>
        <v>247002.42</v>
      </c>
      <c r="N31" s="46">
        <f t="shared" si="4"/>
        <v>569387.49</v>
      </c>
      <c r="O31" s="46">
        <f t="shared" si="5"/>
        <v>1829171.4</v>
      </c>
      <c r="P31" s="46">
        <f t="shared" si="6"/>
        <v>0</v>
      </c>
      <c r="Q31" s="46">
        <f t="shared" si="7"/>
        <v>0</v>
      </c>
    </row>
    <row r="32" spans="1:17" ht="15">
      <c r="A32" s="44"/>
      <c r="B32" s="44" t="s">
        <v>28</v>
      </c>
      <c r="C32" s="44"/>
      <c r="D32" s="44" t="s">
        <v>20</v>
      </c>
      <c r="E32" s="85">
        <v>105</v>
      </c>
      <c r="F32" s="85" t="s">
        <v>43</v>
      </c>
      <c r="G32" s="85" t="s">
        <v>43</v>
      </c>
      <c r="H32" s="46" t="s">
        <v>23</v>
      </c>
      <c r="I32" s="46"/>
      <c r="J32" s="46">
        <v>25992.31</v>
      </c>
      <c r="K32" s="46">
        <f t="shared" si="2"/>
        <v>25992.31</v>
      </c>
      <c r="L32" s="46">
        <f t="shared" si="14"/>
        <v>0</v>
      </c>
      <c r="M32" s="46">
        <f t="shared" si="3"/>
        <v>0</v>
      </c>
      <c r="N32" s="46">
        <f t="shared" si="4"/>
        <v>2729192.5500000003</v>
      </c>
      <c r="O32" s="46">
        <f t="shared" si="5"/>
        <v>2729192.5500000003</v>
      </c>
      <c r="P32" s="46">
        <f t="shared" si="6"/>
        <v>2755184.8600000003</v>
      </c>
      <c r="Q32" s="46">
        <f t="shared" si="7"/>
        <v>2755184.8600000003</v>
      </c>
    </row>
    <row r="33" spans="1:17" ht="14.25">
      <c r="A33" s="67" t="s">
        <v>44</v>
      </c>
      <c r="B33" s="70"/>
      <c r="C33" s="70"/>
      <c r="D33" s="70"/>
      <c r="E33" s="87"/>
      <c r="F33" s="87"/>
      <c r="G33" s="87"/>
      <c r="H33" s="66"/>
      <c r="I33" s="66"/>
      <c r="J33" s="66"/>
      <c r="K33" s="66">
        <f t="shared" si="2"/>
        <v>0</v>
      </c>
      <c r="L33" s="66">
        <f>L34+L39</f>
        <v>11187434.960000001</v>
      </c>
      <c r="M33" s="66">
        <f t="shared" ref="M33:Q33" si="18">M34+M39</f>
        <v>2552358.34</v>
      </c>
      <c r="N33" s="66">
        <f t="shared" si="18"/>
        <v>11524002</v>
      </c>
      <c r="O33" s="66">
        <f t="shared" si="18"/>
        <v>25263795.299999997</v>
      </c>
      <c r="P33" s="66">
        <f t="shared" si="18"/>
        <v>29161302.68</v>
      </c>
      <c r="Q33" s="66">
        <f t="shared" si="18"/>
        <v>29161302.68</v>
      </c>
    </row>
    <row r="34" spans="1:17" ht="85.5">
      <c r="A34" s="42"/>
      <c r="B34" s="47" t="s">
        <v>76</v>
      </c>
      <c r="C34" s="47"/>
      <c r="D34" s="52"/>
      <c r="E34" s="86"/>
      <c r="F34" s="86"/>
      <c r="G34" s="86"/>
      <c r="H34" s="46"/>
      <c r="I34" s="46"/>
      <c r="J34" s="46"/>
      <c r="K34" s="46">
        <f t="shared" si="2"/>
        <v>0</v>
      </c>
      <c r="L34" s="46">
        <f>SUM(L35:L38)</f>
        <v>11187434.960000001</v>
      </c>
      <c r="M34" s="46">
        <f t="shared" ref="M34:Q34" si="19">SUM(M35:M38)</f>
        <v>2552358.34</v>
      </c>
      <c r="N34" s="46">
        <f t="shared" si="19"/>
        <v>5883670.7299999995</v>
      </c>
      <c r="O34" s="46">
        <f t="shared" si="19"/>
        <v>19623464.029999997</v>
      </c>
      <c r="P34" s="46">
        <f t="shared" si="19"/>
        <v>23520971.41</v>
      </c>
      <c r="Q34" s="46">
        <f t="shared" si="19"/>
        <v>23520971.41</v>
      </c>
    </row>
    <row r="35" spans="1:17" ht="105">
      <c r="A35" s="42"/>
      <c r="B35" s="44" t="s">
        <v>19</v>
      </c>
      <c r="C35" s="42" t="s">
        <v>0</v>
      </c>
      <c r="D35" s="50" t="s">
        <v>20</v>
      </c>
      <c r="E35" s="85">
        <v>35</v>
      </c>
      <c r="F35" s="85" t="s">
        <v>45</v>
      </c>
      <c r="G35" s="85" t="s">
        <v>45</v>
      </c>
      <c r="H35" s="46">
        <v>41608.51</v>
      </c>
      <c r="I35" s="46">
        <v>11762.02</v>
      </c>
      <c r="J35" s="46">
        <v>27113.69</v>
      </c>
      <c r="K35" s="46">
        <f t="shared" si="2"/>
        <v>80484.22</v>
      </c>
      <c r="L35" s="46">
        <f t="shared" si="14"/>
        <v>1456297.85</v>
      </c>
      <c r="M35" s="46">
        <f t="shared" si="3"/>
        <v>411670.7</v>
      </c>
      <c r="N35" s="46">
        <f t="shared" si="4"/>
        <v>948979.14999999991</v>
      </c>
      <c r="O35" s="46">
        <f t="shared" si="5"/>
        <v>2816947.7</v>
      </c>
      <c r="P35" s="46">
        <f t="shared" si="6"/>
        <v>4185179.44</v>
      </c>
      <c r="Q35" s="46">
        <f t="shared" si="7"/>
        <v>4185179.44</v>
      </c>
    </row>
    <row r="36" spans="1:17" ht="15">
      <c r="A36" s="49"/>
      <c r="B36" s="44" t="s">
        <v>24</v>
      </c>
      <c r="C36" s="44"/>
      <c r="D36" s="44" t="s">
        <v>20</v>
      </c>
      <c r="E36" s="85">
        <v>77</v>
      </c>
      <c r="F36" s="85" t="s">
        <v>46</v>
      </c>
      <c r="G36" s="85" t="s">
        <v>46</v>
      </c>
      <c r="H36" s="46">
        <v>32991.18</v>
      </c>
      <c r="I36" s="46">
        <v>11762.02</v>
      </c>
      <c r="J36" s="46">
        <v>27113.69</v>
      </c>
      <c r="K36" s="46">
        <f t="shared" si="2"/>
        <v>71866.89</v>
      </c>
      <c r="L36" s="46">
        <f t="shared" si="14"/>
        <v>2540320.86</v>
      </c>
      <c r="M36" s="46">
        <f t="shared" si="3"/>
        <v>905675.54</v>
      </c>
      <c r="N36" s="46">
        <f t="shared" si="4"/>
        <v>2087754.13</v>
      </c>
      <c r="O36" s="46">
        <f t="shared" si="5"/>
        <v>5533750.5299999993</v>
      </c>
      <c r="P36" s="46">
        <f t="shared" si="6"/>
        <v>6683620.7699999996</v>
      </c>
      <c r="Q36" s="46">
        <f t="shared" si="7"/>
        <v>6683620.7699999996</v>
      </c>
    </row>
    <row r="37" spans="1:17" ht="105">
      <c r="A37" s="42"/>
      <c r="B37" s="52"/>
      <c r="C37" s="42" t="s">
        <v>38</v>
      </c>
      <c r="D37" s="50" t="s">
        <v>20</v>
      </c>
      <c r="E37" s="85">
        <v>24</v>
      </c>
      <c r="F37" s="85" t="s">
        <v>47</v>
      </c>
      <c r="G37" s="85" t="s">
        <v>47</v>
      </c>
      <c r="H37" s="46">
        <v>136848.89000000001</v>
      </c>
      <c r="I37" s="46">
        <v>11762.02</v>
      </c>
      <c r="J37" s="46">
        <v>27113.69</v>
      </c>
      <c r="K37" s="46">
        <f t="shared" si="2"/>
        <v>175724.6</v>
      </c>
      <c r="L37" s="46">
        <f t="shared" si="14"/>
        <v>3284373.3600000003</v>
      </c>
      <c r="M37" s="46">
        <f t="shared" si="3"/>
        <v>282288.48</v>
      </c>
      <c r="N37" s="46">
        <f t="shared" si="4"/>
        <v>650728.55999999994</v>
      </c>
      <c r="O37" s="46">
        <f t="shared" si="5"/>
        <v>4217390.4000000004</v>
      </c>
      <c r="P37" s="46">
        <f t="shared" si="6"/>
        <v>12652171.200000001</v>
      </c>
      <c r="Q37" s="46">
        <f t="shared" si="7"/>
        <v>12652171.200000001</v>
      </c>
    </row>
    <row r="38" spans="1:17" ht="120">
      <c r="A38" s="42"/>
      <c r="B38" s="44" t="s">
        <v>24</v>
      </c>
      <c r="C38" s="65" t="s">
        <v>162</v>
      </c>
      <c r="D38" s="50" t="s">
        <v>20</v>
      </c>
      <c r="E38" s="85">
        <v>81</v>
      </c>
      <c r="F38" s="85"/>
      <c r="G38" s="85"/>
      <c r="H38" s="46">
        <v>48227.69</v>
      </c>
      <c r="I38" s="46" t="s">
        <v>163</v>
      </c>
      <c r="J38" s="46" t="s">
        <v>164</v>
      </c>
      <c r="K38" s="46">
        <f t="shared" si="2"/>
        <v>87103.400000000009</v>
      </c>
      <c r="L38" s="46">
        <f t="shared" si="14"/>
        <v>3906442.89</v>
      </c>
      <c r="M38" s="46">
        <f t="shared" si="3"/>
        <v>952723.62</v>
      </c>
      <c r="N38" s="46">
        <f t="shared" si="4"/>
        <v>2196208.8899999997</v>
      </c>
      <c r="O38" s="46">
        <f t="shared" si="5"/>
        <v>7055375.3999999994</v>
      </c>
      <c r="P38" s="46">
        <f t="shared" si="6"/>
        <v>0</v>
      </c>
      <c r="Q38" s="46">
        <f t="shared" si="7"/>
        <v>0</v>
      </c>
    </row>
    <row r="39" spans="1:17" ht="15">
      <c r="A39" s="44"/>
      <c r="B39" s="44" t="s">
        <v>28</v>
      </c>
      <c r="C39" s="44"/>
      <c r="D39" s="44" t="s">
        <v>20</v>
      </c>
      <c r="E39" s="85" t="s">
        <v>48</v>
      </c>
      <c r="F39" s="85" t="s">
        <v>48</v>
      </c>
      <c r="G39" s="85" t="s">
        <v>48</v>
      </c>
      <c r="H39" s="46" t="s">
        <v>23</v>
      </c>
      <c r="I39" s="46"/>
      <c r="J39" s="46">
        <v>25992.31</v>
      </c>
      <c r="K39" s="46">
        <f t="shared" si="2"/>
        <v>25992.31</v>
      </c>
      <c r="L39" s="46">
        <f t="shared" si="14"/>
        <v>0</v>
      </c>
      <c r="M39" s="46">
        <f t="shared" si="3"/>
        <v>0</v>
      </c>
      <c r="N39" s="46">
        <f t="shared" si="4"/>
        <v>5640331.2700000005</v>
      </c>
      <c r="O39" s="46">
        <f t="shared" si="5"/>
        <v>5640331.2700000005</v>
      </c>
      <c r="P39" s="46">
        <f t="shared" si="6"/>
        <v>5640331.2700000005</v>
      </c>
      <c r="Q39" s="46">
        <f t="shared" si="7"/>
        <v>5640331.2700000005</v>
      </c>
    </row>
    <row r="40" spans="1:17" ht="14.25">
      <c r="A40" s="67" t="s">
        <v>49</v>
      </c>
      <c r="B40" s="70"/>
      <c r="C40" s="70"/>
      <c r="D40" s="70"/>
      <c r="E40" s="87"/>
      <c r="F40" s="87"/>
      <c r="G40" s="87"/>
      <c r="H40" s="66"/>
      <c r="I40" s="66"/>
      <c r="J40" s="66"/>
      <c r="K40" s="66">
        <f t="shared" si="2"/>
        <v>0</v>
      </c>
      <c r="L40" s="66">
        <f>L41+L44</f>
        <v>3501499.5</v>
      </c>
      <c r="M40" s="66">
        <f t="shared" ref="M40:Q40" si="20">M41+M44</f>
        <v>1211488.06</v>
      </c>
      <c r="N40" s="66">
        <f t="shared" si="20"/>
        <v>5469918</v>
      </c>
      <c r="O40" s="66">
        <f t="shared" si="20"/>
        <v>10182905.560000001</v>
      </c>
      <c r="P40" s="66">
        <f t="shared" si="20"/>
        <v>10749757.529999999</v>
      </c>
      <c r="Q40" s="66">
        <f t="shared" si="20"/>
        <v>10749757.529999999</v>
      </c>
    </row>
    <row r="41" spans="1:17" ht="85.5">
      <c r="A41" s="42"/>
      <c r="B41" s="47" t="s">
        <v>76</v>
      </c>
      <c r="C41" s="47"/>
      <c r="D41" s="52"/>
      <c r="E41" s="86"/>
      <c r="F41" s="86"/>
      <c r="G41" s="86"/>
      <c r="H41" s="46"/>
      <c r="I41" s="46"/>
      <c r="J41" s="46"/>
      <c r="K41" s="46">
        <f t="shared" si="2"/>
        <v>0</v>
      </c>
      <c r="L41" s="46">
        <f>SUM(L42:L43)</f>
        <v>3501499.5</v>
      </c>
      <c r="M41" s="46">
        <f t="shared" ref="M41:Q41" si="21">SUM(M42:M43)</f>
        <v>1211488.06</v>
      </c>
      <c r="N41" s="46">
        <f t="shared" si="21"/>
        <v>2792710.07</v>
      </c>
      <c r="O41" s="46">
        <f t="shared" si="21"/>
        <v>7505697.6299999999</v>
      </c>
      <c r="P41" s="46">
        <f t="shared" si="21"/>
        <v>7942588.0499999998</v>
      </c>
      <c r="Q41" s="46">
        <f t="shared" si="21"/>
        <v>7942588.0499999998</v>
      </c>
    </row>
    <row r="42" spans="1:17" ht="105">
      <c r="A42" s="42"/>
      <c r="B42" s="44" t="s">
        <v>19</v>
      </c>
      <c r="C42" s="42" t="s">
        <v>0</v>
      </c>
      <c r="D42" s="50" t="s">
        <v>20</v>
      </c>
      <c r="E42" s="85">
        <v>12</v>
      </c>
      <c r="F42" s="85" t="s">
        <v>50</v>
      </c>
      <c r="G42" s="85" t="s">
        <v>50</v>
      </c>
      <c r="H42" s="46">
        <v>41608.51</v>
      </c>
      <c r="I42" s="46">
        <v>11762.02</v>
      </c>
      <c r="J42" s="46">
        <v>27113.69</v>
      </c>
      <c r="K42" s="46">
        <f t="shared" si="2"/>
        <v>80484.22</v>
      </c>
      <c r="L42" s="46">
        <f t="shared" si="14"/>
        <v>499302.12</v>
      </c>
      <c r="M42" s="46">
        <f t="shared" si="3"/>
        <v>141144.24</v>
      </c>
      <c r="N42" s="46">
        <f t="shared" si="4"/>
        <v>325364.27999999997</v>
      </c>
      <c r="O42" s="46">
        <f t="shared" si="5"/>
        <v>965810.6399999999</v>
      </c>
      <c r="P42" s="46">
        <f t="shared" si="6"/>
        <v>1690168.62</v>
      </c>
      <c r="Q42" s="46">
        <f t="shared" si="7"/>
        <v>1690168.62</v>
      </c>
    </row>
    <row r="43" spans="1:17" ht="15">
      <c r="A43" s="49"/>
      <c r="B43" s="44" t="s">
        <v>24</v>
      </c>
      <c r="C43" s="44"/>
      <c r="D43" s="44" t="s">
        <v>20</v>
      </c>
      <c r="E43" s="85">
        <v>91</v>
      </c>
      <c r="F43" s="85" t="s">
        <v>42</v>
      </c>
      <c r="G43" s="85" t="s">
        <v>42</v>
      </c>
      <c r="H43" s="46">
        <v>32991.18</v>
      </c>
      <c r="I43" s="46">
        <v>11762.02</v>
      </c>
      <c r="J43" s="46">
        <v>27113.69</v>
      </c>
      <c r="K43" s="46">
        <f t="shared" si="2"/>
        <v>71866.89</v>
      </c>
      <c r="L43" s="46">
        <f t="shared" si="14"/>
        <v>3002197.38</v>
      </c>
      <c r="M43" s="46">
        <f t="shared" si="3"/>
        <v>1070343.82</v>
      </c>
      <c r="N43" s="46">
        <f t="shared" si="4"/>
        <v>2467345.79</v>
      </c>
      <c r="O43" s="46">
        <f t="shared" si="5"/>
        <v>6539886.9900000002</v>
      </c>
      <c r="P43" s="46">
        <f t="shared" si="6"/>
        <v>6252419.4299999997</v>
      </c>
      <c r="Q43" s="46">
        <f t="shared" si="7"/>
        <v>6252419.4299999997</v>
      </c>
    </row>
    <row r="44" spans="1:17" ht="15">
      <c r="A44" s="44"/>
      <c r="B44" s="44" t="s">
        <v>28</v>
      </c>
      <c r="C44" s="44"/>
      <c r="D44" s="44" t="s">
        <v>20</v>
      </c>
      <c r="E44" s="85">
        <v>103</v>
      </c>
      <c r="F44" s="85" t="s">
        <v>52</v>
      </c>
      <c r="G44" s="85" t="s">
        <v>52</v>
      </c>
      <c r="H44" s="46" t="s">
        <v>23</v>
      </c>
      <c r="I44" s="46"/>
      <c r="J44" s="46">
        <v>25992.31</v>
      </c>
      <c r="K44" s="46">
        <f t="shared" si="2"/>
        <v>25992.31</v>
      </c>
      <c r="L44" s="46">
        <f t="shared" si="14"/>
        <v>0</v>
      </c>
      <c r="M44" s="46">
        <f t="shared" si="3"/>
        <v>0</v>
      </c>
      <c r="N44" s="46">
        <f t="shared" si="4"/>
        <v>2677207.9300000002</v>
      </c>
      <c r="O44" s="46">
        <f t="shared" si="5"/>
        <v>2677207.9300000002</v>
      </c>
      <c r="P44" s="46">
        <f t="shared" si="6"/>
        <v>2807169.48</v>
      </c>
      <c r="Q44" s="46">
        <f t="shared" si="7"/>
        <v>2807169.48</v>
      </c>
    </row>
    <row r="45" spans="1:17" ht="14.25">
      <c r="A45" s="67" t="s">
        <v>53</v>
      </c>
      <c r="B45" s="70"/>
      <c r="C45" s="70"/>
      <c r="D45" s="70"/>
      <c r="E45" s="87"/>
      <c r="F45" s="87"/>
      <c r="G45" s="87"/>
      <c r="H45" s="66"/>
      <c r="I45" s="66"/>
      <c r="J45" s="66"/>
      <c r="K45" s="66">
        <f t="shared" si="2"/>
        <v>0</v>
      </c>
      <c r="L45" s="66">
        <f>L46+L50</f>
        <v>6432377.0600000005</v>
      </c>
      <c r="M45" s="66">
        <f t="shared" ref="M45:Q45" si="22">M46+M50</f>
        <v>1917209.26</v>
      </c>
      <c r="N45" s="66">
        <f t="shared" si="22"/>
        <v>8656278</v>
      </c>
      <c r="O45" s="66">
        <f t="shared" si="22"/>
        <v>17005864.32</v>
      </c>
      <c r="P45" s="66">
        <f t="shared" si="22"/>
        <v>15032190.529999999</v>
      </c>
      <c r="Q45" s="66">
        <f t="shared" si="22"/>
        <v>15032190.529999999</v>
      </c>
    </row>
    <row r="46" spans="1:17" ht="85.5">
      <c r="A46" s="42"/>
      <c r="B46" s="47" t="s">
        <v>76</v>
      </c>
      <c r="C46" s="47"/>
      <c r="D46" s="52"/>
      <c r="E46" s="86"/>
      <c r="F46" s="86"/>
      <c r="G46" s="86"/>
      <c r="H46" s="46"/>
      <c r="I46" s="46"/>
      <c r="J46" s="46"/>
      <c r="K46" s="46">
        <f t="shared" si="2"/>
        <v>0</v>
      </c>
      <c r="L46" s="46">
        <f>SUM(L47:L49)</f>
        <v>6432377.0600000005</v>
      </c>
      <c r="M46" s="46">
        <f t="shared" ref="M46:Q46" si="23">SUM(M47:M49)</f>
        <v>1917209.26</v>
      </c>
      <c r="N46" s="46">
        <f t="shared" si="23"/>
        <v>4419531.47</v>
      </c>
      <c r="O46" s="46">
        <f t="shared" si="23"/>
        <v>12769117.790000001</v>
      </c>
      <c r="P46" s="46">
        <f t="shared" si="23"/>
        <v>11133344.029999999</v>
      </c>
      <c r="Q46" s="46">
        <f t="shared" si="23"/>
        <v>11133344.029999999</v>
      </c>
    </row>
    <row r="47" spans="1:17" ht="105">
      <c r="A47" s="42"/>
      <c r="B47" s="44" t="s">
        <v>19</v>
      </c>
      <c r="C47" s="42" t="s">
        <v>0</v>
      </c>
      <c r="D47" s="50" t="s">
        <v>20</v>
      </c>
      <c r="E47" s="85">
        <v>34</v>
      </c>
      <c r="F47" s="85" t="s">
        <v>54</v>
      </c>
      <c r="G47" s="85" t="s">
        <v>54</v>
      </c>
      <c r="H47" s="46">
        <v>41608.51</v>
      </c>
      <c r="I47" s="46">
        <v>11762.02</v>
      </c>
      <c r="J47" s="46">
        <v>27113.69</v>
      </c>
      <c r="K47" s="46">
        <f t="shared" si="2"/>
        <v>80484.22</v>
      </c>
      <c r="L47" s="46">
        <f t="shared" si="14"/>
        <v>1414689.34</v>
      </c>
      <c r="M47" s="46">
        <f t="shared" si="3"/>
        <v>399908.68</v>
      </c>
      <c r="N47" s="46">
        <f t="shared" si="4"/>
        <v>921865.46</v>
      </c>
      <c r="O47" s="46">
        <f t="shared" si="5"/>
        <v>2736463.48</v>
      </c>
      <c r="P47" s="46">
        <f t="shared" si="6"/>
        <v>3299853.02</v>
      </c>
      <c r="Q47" s="46">
        <f t="shared" si="7"/>
        <v>3299853.02</v>
      </c>
    </row>
    <row r="48" spans="1:17" ht="15">
      <c r="A48" s="49"/>
      <c r="B48" s="44" t="s">
        <v>24</v>
      </c>
      <c r="C48" s="44"/>
      <c r="D48" s="44" t="s">
        <v>20</v>
      </c>
      <c r="E48" s="85">
        <v>79</v>
      </c>
      <c r="F48" s="85" t="s">
        <v>55</v>
      </c>
      <c r="G48" s="85" t="s">
        <v>55</v>
      </c>
      <c r="H48" s="46">
        <v>32991.18</v>
      </c>
      <c r="I48" s="46">
        <v>11762.02</v>
      </c>
      <c r="J48" s="46">
        <v>27113.69</v>
      </c>
      <c r="K48" s="46">
        <f t="shared" si="2"/>
        <v>71866.89</v>
      </c>
      <c r="L48" s="46">
        <f t="shared" si="14"/>
        <v>2606303.2200000002</v>
      </c>
      <c r="M48" s="46">
        <f t="shared" si="3"/>
        <v>929199.58000000007</v>
      </c>
      <c r="N48" s="46">
        <f t="shared" si="4"/>
        <v>2141981.5099999998</v>
      </c>
      <c r="O48" s="46">
        <f t="shared" si="5"/>
        <v>5677484.3100000005</v>
      </c>
      <c r="P48" s="46">
        <f t="shared" si="6"/>
        <v>7833491.0099999998</v>
      </c>
      <c r="Q48" s="46">
        <f t="shared" si="7"/>
        <v>7833491.0099999998</v>
      </c>
    </row>
    <row r="49" spans="1:17" ht="120">
      <c r="A49" s="49"/>
      <c r="B49" s="44" t="s">
        <v>24</v>
      </c>
      <c r="C49" s="65" t="s">
        <v>162</v>
      </c>
      <c r="D49" s="50" t="s">
        <v>20</v>
      </c>
      <c r="E49" s="85">
        <v>50</v>
      </c>
      <c r="F49" s="85"/>
      <c r="G49" s="85"/>
      <c r="H49" s="46">
        <v>48227.69</v>
      </c>
      <c r="I49" s="46" t="s">
        <v>163</v>
      </c>
      <c r="J49" s="46" t="s">
        <v>164</v>
      </c>
      <c r="K49" s="46">
        <f t="shared" ref="K49" si="24">H49+I49+J49</f>
        <v>87103.400000000009</v>
      </c>
      <c r="L49" s="46">
        <f t="shared" si="14"/>
        <v>2411384.5</v>
      </c>
      <c r="M49" s="46">
        <f t="shared" si="3"/>
        <v>588101</v>
      </c>
      <c r="N49" s="46">
        <f t="shared" si="4"/>
        <v>1355684.5</v>
      </c>
      <c r="O49" s="46">
        <f t="shared" si="5"/>
        <v>4355170</v>
      </c>
      <c r="P49" s="46">
        <f t="shared" si="6"/>
        <v>0</v>
      </c>
      <c r="Q49" s="46">
        <f t="shared" si="7"/>
        <v>0</v>
      </c>
    </row>
    <row r="50" spans="1:17" ht="15">
      <c r="A50" s="44"/>
      <c r="B50" s="44" t="s">
        <v>28</v>
      </c>
      <c r="C50" s="44"/>
      <c r="D50" s="44" t="s">
        <v>20</v>
      </c>
      <c r="E50" s="85">
        <v>163</v>
      </c>
      <c r="F50" s="85" t="s">
        <v>56</v>
      </c>
      <c r="G50" s="85" t="s">
        <v>56</v>
      </c>
      <c r="H50" s="46" t="s">
        <v>23</v>
      </c>
      <c r="I50" s="46"/>
      <c r="J50" s="46">
        <v>25992.31</v>
      </c>
      <c r="K50" s="46">
        <f t="shared" si="2"/>
        <v>25992.31</v>
      </c>
      <c r="L50" s="46">
        <f t="shared" si="14"/>
        <v>0</v>
      </c>
      <c r="M50" s="46">
        <f t="shared" si="3"/>
        <v>0</v>
      </c>
      <c r="N50" s="46">
        <f t="shared" si="4"/>
        <v>4236746.53</v>
      </c>
      <c r="O50" s="46">
        <f t="shared" si="5"/>
        <v>4236746.53</v>
      </c>
      <c r="P50" s="46">
        <f t="shared" si="6"/>
        <v>3898846.5</v>
      </c>
      <c r="Q50" s="46">
        <f t="shared" si="7"/>
        <v>3898846.5</v>
      </c>
    </row>
    <row r="51" spans="1:17" ht="14.25">
      <c r="A51" s="67" t="s">
        <v>57</v>
      </c>
      <c r="B51" s="70"/>
      <c r="C51" s="70"/>
      <c r="D51" s="70"/>
      <c r="E51" s="87"/>
      <c r="F51" s="87"/>
      <c r="G51" s="87"/>
      <c r="H51" s="66"/>
      <c r="I51" s="66"/>
      <c r="J51" s="66"/>
      <c r="K51" s="66">
        <f t="shared" si="2"/>
        <v>0</v>
      </c>
      <c r="L51" s="66">
        <f>L52+L56</f>
        <v>3955038.4899999998</v>
      </c>
      <c r="M51" s="66">
        <f t="shared" ref="M51:Q51" si="25">M52+M56</f>
        <v>1317346.24</v>
      </c>
      <c r="N51" s="66">
        <f t="shared" si="25"/>
        <v>5947870.8799999999</v>
      </c>
      <c r="O51" s="66">
        <f t="shared" si="25"/>
        <v>11220255.609999999</v>
      </c>
      <c r="P51" s="66">
        <f t="shared" si="25"/>
        <v>11355221.609999999</v>
      </c>
      <c r="Q51" s="66">
        <f t="shared" si="25"/>
        <v>11355221.609999999</v>
      </c>
    </row>
    <row r="52" spans="1:17" ht="85.5">
      <c r="A52" s="42"/>
      <c r="B52" s="47" t="s">
        <v>76</v>
      </c>
      <c r="C52" s="47"/>
      <c r="D52" s="52"/>
      <c r="E52" s="86"/>
      <c r="F52" s="86"/>
      <c r="G52" s="86"/>
      <c r="H52" s="46"/>
      <c r="I52" s="46"/>
      <c r="J52" s="46"/>
      <c r="K52" s="46">
        <f t="shared" si="2"/>
        <v>0</v>
      </c>
      <c r="L52" s="46">
        <f>SUM(L53:L55)</f>
        <v>3955038.4899999998</v>
      </c>
      <c r="M52" s="46">
        <f t="shared" ref="M52:Q52" si="26">SUM(M53:M55)</f>
        <v>1317346.24</v>
      </c>
      <c r="N52" s="46">
        <f t="shared" si="26"/>
        <v>3036732.1599999997</v>
      </c>
      <c r="O52" s="46">
        <f t="shared" si="26"/>
        <v>8309116.8899999997</v>
      </c>
      <c r="P52" s="46">
        <f t="shared" si="26"/>
        <v>8418090.5800000001</v>
      </c>
      <c r="Q52" s="46">
        <f t="shared" si="26"/>
        <v>8418090.5800000001</v>
      </c>
    </row>
    <row r="53" spans="1:17" ht="105">
      <c r="A53" s="42"/>
      <c r="B53" s="44" t="s">
        <v>19</v>
      </c>
      <c r="C53" s="42" t="s">
        <v>0</v>
      </c>
      <c r="D53" s="50" t="s">
        <v>20</v>
      </c>
      <c r="E53" s="85">
        <v>13</v>
      </c>
      <c r="F53" s="85" t="s">
        <v>58</v>
      </c>
      <c r="G53" s="85" t="s">
        <v>58</v>
      </c>
      <c r="H53" s="46">
        <v>41608.51</v>
      </c>
      <c r="I53" s="46">
        <v>11762.02</v>
      </c>
      <c r="J53" s="46" t="s">
        <v>82</v>
      </c>
      <c r="K53" s="46">
        <f t="shared" si="2"/>
        <v>80484.209999999992</v>
      </c>
      <c r="L53" s="46">
        <f t="shared" si="14"/>
        <v>540910.63</v>
      </c>
      <c r="M53" s="46">
        <f t="shared" si="3"/>
        <v>152906.26</v>
      </c>
      <c r="N53" s="46">
        <f t="shared" si="4"/>
        <v>352477.84</v>
      </c>
      <c r="O53" s="46">
        <f t="shared" si="5"/>
        <v>1046294.73</v>
      </c>
      <c r="P53" s="46">
        <f t="shared" si="6"/>
        <v>1448715.7799999998</v>
      </c>
      <c r="Q53" s="46">
        <f t="shared" si="7"/>
        <v>1448715.7799999998</v>
      </c>
    </row>
    <row r="54" spans="1:17" ht="15">
      <c r="A54" s="49"/>
      <c r="B54" s="44" t="s">
        <v>24</v>
      </c>
      <c r="C54" s="44"/>
      <c r="D54" s="44" t="s">
        <v>20</v>
      </c>
      <c r="E54" s="85">
        <v>99</v>
      </c>
      <c r="F54" s="85" t="s">
        <v>59</v>
      </c>
      <c r="G54" s="85" t="s">
        <v>59</v>
      </c>
      <c r="H54" s="46">
        <v>32991.18</v>
      </c>
      <c r="I54" s="46">
        <v>11762.02</v>
      </c>
      <c r="J54" s="46" t="s">
        <v>82</v>
      </c>
      <c r="K54" s="46">
        <f t="shared" si="2"/>
        <v>71866.880000000005</v>
      </c>
      <c r="L54" s="46">
        <f t="shared" si="14"/>
        <v>3266126.82</v>
      </c>
      <c r="M54" s="46">
        <f t="shared" si="3"/>
        <v>1164439.98</v>
      </c>
      <c r="N54" s="46">
        <f t="shared" si="4"/>
        <v>2684254.3199999998</v>
      </c>
      <c r="O54" s="46">
        <f t="shared" si="5"/>
        <v>7114821.1199999992</v>
      </c>
      <c r="P54" s="46">
        <f t="shared" si="6"/>
        <v>6827353.6000000006</v>
      </c>
      <c r="Q54" s="46">
        <f t="shared" si="7"/>
        <v>6827353.6000000006</v>
      </c>
    </row>
    <row r="55" spans="1:17" ht="75">
      <c r="A55" s="42"/>
      <c r="B55" s="52"/>
      <c r="C55" s="42" t="s">
        <v>78</v>
      </c>
      <c r="D55" s="50" t="s">
        <v>20</v>
      </c>
      <c r="E55" s="85">
        <v>99</v>
      </c>
      <c r="F55" s="85" t="s">
        <v>59</v>
      </c>
      <c r="G55" s="85" t="s">
        <v>59</v>
      </c>
      <c r="H55" s="46">
        <v>1494.96</v>
      </c>
      <c r="I55" s="46"/>
      <c r="J55" s="46"/>
      <c r="K55" s="46">
        <f t="shared" si="2"/>
        <v>1494.96</v>
      </c>
      <c r="L55" s="46">
        <f t="shared" si="14"/>
        <v>148001.04</v>
      </c>
      <c r="M55" s="46">
        <f t="shared" si="3"/>
        <v>0</v>
      </c>
      <c r="N55" s="46">
        <f t="shared" si="4"/>
        <v>0</v>
      </c>
      <c r="O55" s="46">
        <f t="shared" si="5"/>
        <v>148001.04</v>
      </c>
      <c r="P55" s="46">
        <f t="shared" si="6"/>
        <v>142021.20000000001</v>
      </c>
      <c r="Q55" s="46">
        <f t="shared" si="7"/>
        <v>142021.20000000001</v>
      </c>
    </row>
    <row r="56" spans="1:17" ht="15">
      <c r="A56" s="44"/>
      <c r="B56" s="44" t="s">
        <v>28</v>
      </c>
      <c r="C56" s="44"/>
      <c r="D56" s="44" t="s">
        <v>20</v>
      </c>
      <c r="E56" s="85">
        <v>112</v>
      </c>
      <c r="F56" s="85" t="s">
        <v>60</v>
      </c>
      <c r="G56" s="85" t="s">
        <v>60</v>
      </c>
      <c r="H56" s="46" t="s">
        <v>23</v>
      </c>
      <c r="I56" s="46"/>
      <c r="J56" s="46">
        <v>25992.31</v>
      </c>
      <c r="K56" s="46">
        <f t="shared" si="2"/>
        <v>25992.31</v>
      </c>
      <c r="L56" s="46">
        <f t="shared" si="14"/>
        <v>0</v>
      </c>
      <c r="M56" s="46">
        <f t="shared" si="3"/>
        <v>0</v>
      </c>
      <c r="N56" s="46">
        <f t="shared" si="4"/>
        <v>2911138.72</v>
      </c>
      <c r="O56" s="46">
        <f t="shared" si="5"/>
        <v>2911138.72</v>
      </c>
      <c r="P56" s="46">
        <f t="shared" si="6"/>
        <v>2937131.0300000003</v>
      </c>
      <c r="Q56" s="46">
        <f t="shared" si="7"/>
        <v>2937131.0300000003</v>
      </c>
    </row>
    <row r="57" spans="1:17" ht="14.25">
      <c r="A57" s="67" t="s">
        <v>61</v>
      </c>
      <c r="B57" s="70"/>
      <c r="C57" s="70"/>
      <c r="D57" s="70"/>
      <c r="E57" s="87"/>
      <c r="F57" s="87"/>
      <c r="G57" s="87"/>
      <c r="H57" s="66"/>
      <c r="I57" s="66"/>
      <c r="J57" s="66"/>
      <c r="K57" s="66">
        <f t="shared" si="2"/>
        <v>0</v>
      </c>
      <c r="L57" s="66">
        <f>L58+L63</f>
        <v>8953064.3699999992</v>
      </c>
      <c r="M57" s="66">
        <f t="shared" ref="M57:Q57" si="27">M58+M63</f>
        <v>2717026.62</v>
      </c>
      <c r="N57" s="66">
        <f t="shared" si="27"/>
        <v>12267486</v>
      </c>
      <c r="O57" s="66">
        <f t="shared" si="27"/>
        <v>23937576.990000002</v>
      </c>
      <c r="P57" s="66">
        <f t="shared" si="27"/>
        <v>23668734.25</v>
      </c>
      <c r="Q57" s="66">
        <f t="shared" si="27"/>
        <v>23668734.25</v>
      </c>
    </row>
    <row r="58" spans="1:17" ht="85.5">
      <c r="A58" s="42"/>
      <c r="B58" s="47" t="s">
        <v>76</v>
      </c>
      <c r="C58" s="47"/>
      <c r="D58" s="52"/>
      <c r="E58" s="86"/>
      <c r="F58" s="86"/>
      <c r="G58" s="86"/>
      <c r="H58" s="46"/>
      <c r="I58" s="46"/>
      <c r="J58" s="46"/>
      <c r="K58" s="46">
        <f t="shared" si="2"/>
        <v>0</v>
      </c>
      <c r="L58" s="46">
        <f>SUM(L59:L62)</f>
        <v>8953064.3699999992</v>
      </c>
      <c r="M58" s="46">
        <f t="shared" ref="M58:Q58" si="28">SUM(M59:M62)</f>
        <v>2717026.62</v>
      </c>
      <c r="N58" s="46">
        <f t="shared" si="28"/>
        <v>6263262.3899999997</v>
      </c>
      <c r="O58" s="46">
        <f t="shared" si="28"/>
        <v>17933353.380000003</v>
      </c>
      <c r="P58" s="46">
        <f t="shared" si="28"/>
        <v>17560541.399999999</v>
      </c>
      <c r="Q58" s="46">
        <f t="shared" si="28"/>
        <v>17560541.399999999</v>
      </c>
    </row>
    <row r="59" spans="1:17" ht="105">
      <c r="A59" s="42"/>
      <c r="B59" s="44" t="s">
        <v>19</v>
      </c>
      <c r="C59" s="42" t="s">
        <v>0</v>
      </c>
      <c r="D59" s="50" t="s">
        <v>20</v>
      </c>
      <c r="E59" s="85">
        <v>38</v>
      </c>
      <c r="F59" s="85" t="s">
        <v>62</v>
      </c>
      <c r="G59" s="85" t="s">
        <v>62</v>
      </c>
      <c r="H59" s="46">
        <v>41608.51</v>
      </c>
      <c r="I59" s="46">
        <v>11762.02</v>
      </c>
      <c r="J59" s="46">
        <v>27113.69</v>
      </c>
      <c r="K59" s="46">
        <f t="shared" si="2"/>
        <v>80484.22</v>
      </c>
      <c r="L59" s="46">
        <f t="shared" si="14"/>
        <v>1581123.3800000001</v>
      </c>
      <c r="M59" s="46">
        <f t="shared" si="3"/>
        <v>446956.76</v>
      </c>
      <c r="N59" s="46">
        <f t="shared" si="4"/>
        <v>1030320.22</v>
      </c>
      <c r="O59" s="46">
        <f t="shared" si="5"/>
        <v>3058400.3600000003</v>
      </c>
      <c r="P59" s="46">
        <f t="shared" si="6"/>
        <v>3621789.9</v>
      </c>
      <c r="Q59" s="46">
        <f t="shared" si="7"/>
        <v>3621789.9</v>
      </c>
    </row>
    <row r="60" spans="1:17" ht="15">
      <c r="A60" s="49"/>
      <c r="B60" s="44" t="s">
        <v>24</v>
      </c>
      <c r="C60" s="44"/>
      <c r="D60" s="44" t="s">
        <v>20</v>
      </c>
      <c r="E60" s="85">
        <v>146</v>
      </c>
      <c r="F60" s="85" t="s">
        <v>63</v>
      </c>
      <c r="G60" s="85" t="s">
        <v>63</v>
      </c>
      <c r="H60" s="46">
        <v>32991.18</v>
      </c>
      <c r="I60" s="46">
        <v>11762.02</v>
      </c>
      <c r="J60" s="46">
        <v>27113.69</v>
      </c>
      <c r="K60" s="46">
        <f t="shared" si="2"/>
        <v>71866.89</v>
      </c>
      <c r="L60" s="46">
        <f t="shared" si="14"/>
        <v>4816712.28</v>
      </c>
      <c r="M60" s="46">
        <f t="shared" si="3"/>
        <v>1717254.9200000002</v>
      </c>
      <c r="N60" s="46">
        <f t="shared" si="4"/>
        <v>3958598.7399999998</v>
      </c>
      <c r="O60" s="46">
        <f t="shared" si="5"/>
        <v>10492565.939999999</v>
      </c>
      <c r="P60" s="46">
        <f t="shared" si="6"/>
        <v>13654709.1</v>
      </c>
      <c r="Q60" s="46">
        <f t="shared" si="7"/>
        <v>13654709.1</v>
      </c>
    </row>
    <row r="61" spans="1:17" ht="120">
      <c r="A61" s="49"/>
      <c r="B61" s="44" t="s">
        <v>24</v>
      </c>
      <c r="C61" s="65" t="s">
        <v>162</v>
      </c>
      <c r="D61" s="50" t="s">
        <v>20</v>
      </c>
      <c r="E61" s="85">
        <v>47</v>
      </c>
      <c r="F61" s="85"/>
      <c r="G61" s="85"/>
      <c r="H61" s="46">
        <v>48227.69</v>
      </c>
      <c r="I61" s="46" t="s">
        <v>163</v>
      </c>
      <c r="J61" s="46" t="s">
        <v>164</v>
      </c>
      <c r="K61" s="46">
        <f t="shared" si="2"/>
        <v>87103.400000000009</v>
      </c>
      <c r="L61" s="46">
        <f t="shared" si="14"/>
        <v>2266701.4300000002</v>
      </c>
      <c r="M61" s="46">
        <f t="shared" si="3"/>
        <v>552814.94000000006</v>
      </c>
      <c r="N61" s="46">
        <f t="shared" si="4"/>
        <v>1274343.43</v>
      </c>
      <c r="O61" s="46">
        <f t="shared" si="5"/>
        <v>4093859.8</v>
      </c>
      <c r="P61" s="46">
        <f t="shared" si="6"/>
        <v>0</v>
      </c>
      <c r="Q61" s="46">
        <f t="shared" si="7"/>
        <v>0</v>
      </c>
    </row>
    <row r="62" spans="1:17" ht="75">
      <c r="A62" s="42"/>
      <c r="B62" s="52"/>
      <c r="C62" s="42" t="s">
        <v>78</v>
      </c>
      <c r="D62" s="50" t="s">
        <v>20</v>
      </c>
      <c r="E62" s="85">
        <v>193</v>
      </c>
      <c r="F62" s="85" t="s">
        <v>63</v>
      </c>
      <c r="G62" s="85" t="s">
        <v>63</v>
      </c>
      <c r="H62" s="46">
        <v>1494.96</v>
      </c>
      <c r="I62" s="46"/>
      <c r="J62" s="46"/>
      <c r="K62" s="46">
        <f t="shared" si="2"/>
        <v>1494.96</v>
      </c>
      <c r="L62" s="46">
        <f t="shared" si="14"/>
        <v>288527.28000000003</v>
      </c>
      <c r="M62" s="46">
        <f t="shared" ref="M62:M80" si="29">E62*I62</f>
        <v>0</v>
      </c>
      <c r="N62" s="46">
        <f t="shared" ref="N62:N80" si="30">E62*J62</f>
        <v>0</v>
      </c>
      <c r="O62" s="46">
        <f t="shared" ref="O62:O80" si="31">SUM(L62:N62)</f>
        <v>288527.28000000003</v>
      </c>
      <c r="P62" s="46">
        <f t="shared" ref="P62:P80" si="32">F62*K62</f>
        <v>284042.40000000002</v>
      </c>
      <c r="Q62" s="46">
        <f t="shared" ref="Q62:Q80" si="33">G62*K62</f>
        <v>284042.40000000002</v>
      </c>
    </row>
    <row r="63" spans="1:17" ht="15">
      <c r="A63" s="44"/>
      <c r="B63" s="44" t="s">
        <v>28</v>
      </c>
      <c r="C63" s="44"/>
      <c r="D63" s="44" t="s">
        <v>20</v>
      </c>
      <c r="E63" s="85">
        <v>231</v>
      </c>
      <c r="F63" s="85" t="s">
        <v>64</v>
      </c>
      <c r="G63" s="85" t="s">
        <v>64</v>
      </c>
      <c r="H63" s="46" t="s">
        <v>23</v>
      </c>
      <c r="I63" s="46"/>
      <c r="J63" s="46">
        <v>25992.31</v>
      </c>
      <c r="K63" s="46">
        <f t="shared" si="2"/>
        <v>25992.31</v>
      </c>
      <c r="L63" s="46">
        <f t="shared" si="14"/>
        <v>0</v>
      </c>
      <c r="M63" s="46">
        <f t="shared" si="29"/>
        <v>0</v>
      </c>
      <c r="N63" s="46">
        <f t="shared" si="30"/>
        <v>6004223.6100000003</v>
      </c>
      <c r="O63" s="46">
        <f t="shared" si="31"/>
        <v>6004223.6100000003</v>
      </c>
      <c r="P63" s="46">
        <f t="shared" si="32"/>
        <v>6108192.8500000006</v>
      </c>
      <c r="Q63" s="46">
        <f t="shared" si="33"/>
        <v>6108192.8500000006</v>
      </c>
    </row>
    <row r="64" spans="1:17" ht="14.25">
      <c r="A64" s="67" t="s">
        <v>65</v>
      </c>
      <c r="B64" s="70"/>
      <c r="C64" s="70"/>
      <c r="D64" s="70"/>
      <c r="E64" s="87"/>
      <c r="F64" s="87"/>
      <c r="G64" s="87"/>
      <c r="H64" s="66"/>
      <c r="I64" s="66"/>
      <c r="J64" s="66"/>
      <c r="K64" s="66">
        <f t="shared" si="2"/>
        <v>0</v>
      </c>
      <c r="L64" s="66">
        <f>L65+L68</f>
        <v>4740885.96</v>
      </c>
      <c r="M64" s="66">
        <f t="shared" ref="M64:Q64" si="34">M65+M68</f>
        <v>1634920.7800000003</v>
      </c>
      <c r="N64" s="66">
        <f t="shared" si="34"/>
        <v>7381734</v>
      </c>
      <c r="O64" s="66">
        <f t="shared" si="34"/>
        <v>13757540.739999998</v>
      </c>
      <c r="P64" s="66">
        <f t="shared" si="34"/>
        <v>13967425.23</v>
      </c>
      <c r="Q64" s="66">
        <f t="shared" si="34"/>
        <v>13967425.23</v>
      </c>
    </row>
    <row r="65" spans="1:17" ht="85.5">
      <c r="A65" s="42"/>
      <c r="B65" s="47" t="s">
        <v>76</v>
      </c>
      <c r="C65" s="47"/>
      <c r="D65" s="52"/>
      <c r="E65" s="86"/>
      <c r="F65" s="86"/>
      <c r="G65" s="86"/>
      <c r="H65" s="46"/>
      <c r="I65" s="46"/>
      <c r="J65" s="46"/>
      <c r="K65" s="46">
        <f t="shared" ref="K65:K80" si="35">H65+I65+J65</f>
        <v>0</v>
      </c>
      <c r="L65" s="46">
        <f>SUM(L66:L67)</f>
        <v>4740885.96</v>
      </c>
      <c r="M65" s="46">
        <f t="shared" ref="M65:Q65" si="36">SUM(M66:M67)</f>
        <v>1634920.7800000003</v>
      </c>
      <c r="N65" s="46">
        <f t="shared" si="36"/>
        <v>3768802.9099999997</v>
      </c>
      <c r="O65" s="46">
        <f t="shared" si="36"/>
        <v>10144609.649999999</v>
      </c>
      <c r="P65" s="46">
        <f t="shared" si="36"/>
        <v>10328501.83</v>
      </c>
      <c r="Q65" s="46">
        <f t="shared" si="36"/>
        <v>10328501.83</v>
      </c>
    </row>
    <row r="66" spans="1:17" ht="105">
      <c r="A66" s="42"/>
      <c r="B66" s="44" t="s">
        <v>19</v>
      </c>
      <c r="C66" s="42" t="s">
        <v>0</v>
      </c>
      <c r="D66" s="44" t="s">
        <v>20</v>
      </c>
      <c r="E66" s="85">
        <v>18</v>
      </c>
      <c r="F66" s="85" t="s">
        <v>66</v>
      </c>
      <c r="G66" s="85" t="s">
        <v>66</v>
      </c>
      <c r="H66" s="46">
        <v>41608.51</v>
      </c>
      <c r="I66" s="46">
        <v>11762.02</v>
      </c>
      <c r="J66" s="46">
        <v>27113.69</v>
      </c>
      <c r="K66" s="46">
        <f t="shared" si="35"/>
        <v>80484.22</v>
      </c>
      <c r="L66" s="46">
        <f t="shared" si="14"/>
        <v>748953.18</v>
      </c>
      <c r="M66" s="46">
        <f t="shared" si="29"/>
        <v>211716.36000000002</v>
      </c>
      <c r="N66" s="46">
        <f t="shared" si="30"/>
        <v>488046.42</v>
      </c>
      <c r="O66" s="46">
        <f t="shared" si="31"/>
        <v>1448715.96</v>
      </c>
      <c r="P66" s="46">
        <f t="shared" si="32"/>
        <v>2495010.8199999998</v>
      </c>
      <c r="Q66" s="46">
        <f t="shared" si="33"/>
        <v>2495010.8199999998</v>
      </c>
    </row>
    <row r="67" spans="1:17" ht="15">
      <c r="A67" s="49"/>
      <c r="B67" s="44" t="s">
        <v>24</v>
      </c>
      <c r="C67" s="44"/>
      <c r="D67" s="44" t="s">
        <v>20</v>
      </c>
      <c r="E67" s="85">
        <v>121</v>
      </c>
      <c r="F67" s="85" t="s">
        <v>55</v>
      </c>
      <c r="G67" s="85" t="s">
        <v>55</v>
      </c>
      <c r="H67" s="46">
        <v>32991.18</v>
      </c>
      <c r="I67" s="46">
        <v>11762.02</v>
      </c>
      <c r="J67" s="46">
        <v>27113.69</v>
      </c>
      <c r="K67" s="46">
        <f t="shared" si="35"/>
        <v>71866.89</v>
      </c>
      <c r="L67" s="46">
        <f t="shared" si="14"/>
        <v>3991932.7800000003</v>
      </c>
      <c r="M67" s="46">
        <f t="shared" si="29"/>
        <v>1423204.4200000002</v>
      </c>
      <c r="N67" s="46">
        <f t="shared" si="30"/>
        <v>3280756.4899999998</v>
      </c>
      <c r="O67" s="46">
        <f t="shared" si="31"/>
        <v>8695893.6899999995</v>
      </c>
      <c r="P67" s="46">
        <f t="shared" si="32"/>
        <v>7833491.0099999998</v>
      </c>
      <c r="Q67" s="46">
        <f t="shared" si="33"/>
        <v>7833491.0099999998</v>
      </c>
    </row>
    <row r="68" spans="1:17" ht="15">
      <c r="A68" s="44"/>
      <c r="B68" s="44" t="s">
        <v>28</v>
      </c>
      <c r="C68" s="44"/>
      <c r="D68" s="44" t="s">
        <v>20</v>
      </c>
      <c r="E68" s="85">
        <v>139</v>
      </c>
      <c r="F68" s="85" t="s">
        <v>67</v>
      </c>
      <c r="G68" s="85" t="s">
        <v>67</v>
      </c>
      <c r="H68" s="46" t="s">
        <v>23</v>
      </c>
      <c r="I68" s="46"/>
      <c r="J68" s="46">
        <v>25992.31</v>
      </c>
      <c r="K68" s="46">
        <f t="shared" si="35"/>
        <v>25992.31</v>
      </c>
      <c r="L68" s="46">
        <f t="shared" si="14"/>
        <v>0</v>
      </c>
      <c r="M68" s="46">
        <f t="shared" si="29"/>
        <v>0</v>
      </c>
      <c r="N68" s="46">
        <f t="shared" si="30"/>
        <v>3612931.0900000003</v>
      </c>
      <c r="O68" s="46">
        <f t="shared" si="31"/>
        <v>3612931.0900000003</v>
      </c>
      <c r="P68" s="46">
        <f t="shared" si="32"/>
        <v>3638923.4000000004</v>
      </c>
      <c r="Q68" s="46">
        <f t="shared" si="33"/>
        <v>3638923.4000000004</v>
      </c>
    </row>
    <row r="69" spans="1:17" ht="14.25">
      <c r="A69" s="67" t="s">
        <v>68</v>
      </c>
      <c r="B69" s="70"/>
      <c r="C69" s="70"/>
      <c r="D69" s="70"/>
      <c r="E69" s="87"/>
      <c r="F69" s="87"/>
      <c r="G69" s="87"/>
      <c r="H69" s="66"/>
      <c r="I69" s="66"/>
      <c r="J69" s="66"/>
      <c r="K69" s="66">
        <f t="shared" si="35"/>
        <v>0</v>
      </c>
      <c r="L69" s="66">
        <f>L70+L74</f>
        <v>5146692.57</v>
      </c>
      <c r="M69" s="66">
        <f t="shared" ref="M69:Q69" si="37">M70+M74</f>
        <v>1658444.82</v>
      </c>
      <c r="N69" s="66">
        <f t="shared" si="37"/>
        <v>7487946</v>
      </c>
      <c r="O69" s="66">
        <f t="shared" si="37"/>
        <v>14293083.390000001</v>
      </c>
      <c r="P69" s="66">
        <f t="shared" si="37"/>
        <v>13941573.24</v>
      </c>
      <c r="Q69" s="66">
        <f t="shared" si="37"/>
        <v>13941573.24</v>
      </c>
    </row>
    <row r="70" spans="1:17" ht="85.5">
      <c r="A70" s="42"/>
      <c r="B70" s="47" t="s">
        <v>76</v>
      </c>
      <c r="C70" s="47"/>
      <c r="D70" s="52"/>
      <c r="E70" s="86"/>
      <c r="F70" s="86"/>
      <c r="G70" s="86"/>
      <c r="H70" s="46"/>
      <c r="I70" s="46"/>
      <c r="J70" s="46"/>
      <c r="K70" s="46">
        <f t="shared" si="35"/>
        <v>0</v>
      </c>
      <c r="L70" s="46">
        <f>SUM(L71:L73)</f>
        <v>5146692.57</v>
      </c>
      <c r="M70" s="46">
        <f t="shared" ref="M70:Q70" si="38">SUM(M71:M73)</f>
        <v>1658444.82</v>
      </c>
      <c r="N70" s="46">
        <f t="shared" si="38"/>
        <v>3823030.29</v>
      </c>
      <c r="O70" s="46">
        <f t="shared" si="38"/>
        <v>10628167.68</v>
      </c>
      <c r="P70" s="46">
        <f t="shared" si="38"/>
        <v>10302649.84</v>
      </c>
      <c r="Q70" s="46">
        <f t="shared" si="38"/>
        <v>10302649.84</v>
      </c>
    </row>
    <row r="71" spans="1:17" ht="105">
      <c r="A71" s="42"/>
      <c r="B71" s="44" t="s">
        <v>19</v>
      </c>
      <c r="C71" s="42" t="s">
        <v>0</v>
      </c>
      <c r="D71" s="50" t="s">
        <v>20</v>
      </c>
      <c r="E71" s="85">
        <v>15</v>
      </c>
      <c r="F71" s="85" t="s">
        <v>69</v>
      </c>
      <c r="G71" s="85" t="s">
        <v>69</v>
      </c>
      <c r="H71" s="46">
        <v>41608.51</v>
      </c>
      <c r="I71" s="46">
        <v>11762.02</v>
      </c>
      <c r="J71" s="46">
        <v>27113.69</v>
      </c>
      <c r="K71" s="46">
        <f t="shared" si="35"/>
        <v>80484.22</v>
      </c>
      <c r="L71" s="46">
        <f t="shared" ref="L71:L80" si="39">E71*H71</f>
        <v>624127.65</v>
      </c>
      <c r="M71" s="46">
        <f t="shared" si="29"/>
        <v>176430.30000000002</v>
      </c>
      <c r="N71" s="46">
        <f t="shared" si="30"/>
        <v>406705.35</v>
      </c>
      <c r="O71" s="46">
        <f t="shared" si="31"/>
        <v>1207263.3</v>
      </c>
      <c r="P71" s="46">
        <f t="shared" si="32"/>
        <v>2253558.16</v>
      </c>
      <c r="Q71" s="46">
        <f t="shared" si="33"/>
        <v>2253558.16</v>
      </c>
    </row>
    <row r="72" spans="1:17" ht="15">
      <c r="A72" s="49"/>
      <c r="B72" s="44" t="s">
        <v>24</v>
      </c>
      <c r="C72" s="44"/>
      <c r="D72" s="44" t="s">
        <v>20</v>
      </c>
      <c r="E72" s="85">
        <v>102</v>
      </c>
      <c r="F72" s="85" t="s">
        <v>70</v>
      </c>
      <c r="G72" s="85" t="s">
        <v>70</v>
      </c>
      <c r="H72" s="46">
        <v>32991.18</v>
      </c>
      <c r="I72" s="46">
        <v>11762.02</v>
      </c>
      <c r="J72" s="46">
        <v>27113.69</v>
      </c>
      <c r="K72" s="46">
        <f t="shared" si="35"/>
        <v>71866.89</v>
      </c>
      <c r="L72" s="46">
        <f t="shared" si="39"/>
        <v>3365100.36</v>
      </c>
      <c r="M72" s="46">
        <f t="shared" si="29"/>
        <v>1199726.04</v>
      </c>
      <c r="N72" s="46">
        <f t="shared" si="30"/>
        <v>2765596.38</v>
      </c>
      <c r="O72" s="46">
        <f t="shared" si="31"/>
        <v>7330422.7800000003</v>
      </c>
      <c r="P72" s="46">
        <f t="shared" si="32"/>
        <v>8049091.6799999997</v>
      </c>
      <c r="Q72" s="46">
        <f t="shared" si="33"/>
        <v>8049091.6799999997</v>
      </c>
    </row>
    <row r="73" spans="1:17" ht="120">
      <c r="A73" s="49"/>
      <c r="B73" s="44" t="s">
        <v>24</v>
      </c>
      <c r="C73" s="65" t="s">
        <v>162</v>
      </c>
      <c r="D73" s="50" t="s">
        <v>20</v>
      </c>
      <c r="E73" s="85">
        <v>24</v>
      </c>
      <c r="F73" s="85"/>
      <c r="G73" s="85"/>
      <c r="H73" s="46">
        <v>48227.69</v>
      </c>
      <c r="I73" s="46" t="s">
        <v>163</v>
      </c>
      <c r="J73" s="46" t="s">
        <v>164</v>
      </c>
      <c r="K73" s="46">
        <f t="shared" si="35"/>
        <v>87103.400000000009</v>
      </c>
      <c r="L73" s="46">
        <f t="shared" si="39"/>
        <v>1157464.56</v>
      </c>
      <c r="M73" s="46">
        <f t="shared" si="29"/>
        <v>282288.48</v>
      </c>
      <c r="N73" s="46">
        <f t="shared" si="30"/>
        <v>650728.55999999994</v>
      </c>
      <c r="O73" s="46">
        <f t="shared" si="31"/>
        <v>2090481.6</v>
      </c>
      <c r="P73" s="46">
        <f t="shared" si="32"/>
        <v>0</v>
      </c>
      <c r="Q73" s="46">
        <f t="shared" si="33"/>
        <v>0</v>
      </c>
    </row>
    <row r="74" spans="1:17" ht="15">
      <c r="A74" s="44"/>
      <c r="B74" s="44" t="s">
        <v>28</v>
      </c>
      <c r="C74" s="44"/>
      <c r="D74" s="44" t="s">
        <v>20</v>
      </c>
      <c r="E74" s="85">
        <v>141</v>
      </c>
      <c r="F74" s="85" t="s">
        <v>67</v>
      </c>
      <c r="G74" s="85" t="s">
        <v>67</v>
      </c>
      <c r="H74" s="46" t="s">
        <v>23</v>
      </c>
      <c r="I74" s="46"/>
      <c r="J74" s="46">
        <v>25992.31</v>
      </c>
      <c r="K74" s="46">
        <f t="shared" si="35"/>
        <v>25992.31</v>
      </c>
      <c r="L74" s="46">
        <f t="shared" si="39"/>
        <v>0</v>
      </c>
      <c r="M74" s="46">
        <f t="shared" si="29"/>
        <v>0</v>
      </c>
      <c r="N74" s="46">
        <f t="shared" si="30"/>
        <v>3664915.71</v>
      </c>
      <c r="O74" s="46">
        <f t="shared" si="31"/>
        <v>3664915.71</v>
      </c>
      <c r="P74" s="46">
        <f t="shared" si="32"/>
        <v>3638923.4000000004</v>
      </c>
      <c r="Q74" s="46">
        <f t="shared" si="33"/>
        <v>3638923.4000000004</v>
      </c>
    </row>
    <row r="75" spans="1:17" s="71" customFormat="1" ht="14.25">
      <c r="A75" s="67" t="s">
        <v>71</v>
      </c>
      <c r="B75" s="70"/>
      <c r="C75" s="70"/>
      <c r="D75" s="70"/>
      <c r="E75" s="87"/>
      <c r="F75" s="87"/>
      <c r="G75" s="87"/>
      <c r="H75" s="66"/>
      <c r="I75" s="66"/>
      <c r="J75" s="66"/>
      <c r="K75" s="66">
        <f t="shared" si="35"/>
        <v>0</v>
      </c>
      <c r="L75" s="66">
        <f>L76+L80</f>
        <v>9005169.0899999999</v>
      </c>
      <c r="M75" s="66">
        <f t="shared" ref="M75:Q75" si="40">M76+M80</f>
        <v>2822884.8000000003</v>
      </c>
      <c r="N75" s="66">
        <f t="shared" si="40"/>
        <v>12745440</v>
      </c>
      <c r="O75" s="66">
        <f t="shared" si="40"/>
        <v>24573493.890000001</v>
      </c>
      <c r="P75" s="66">
        <f t="shared" si="40"/>
        <v>24380518.510000002</v>
      </c>
      <c r="Q75" s="66">
        <f t="shared" si="40"/>
        <v>24380518.510000002</v>
      </c>
    </row>
    <row r="76" spans="1:17" ht="85.5">
      <c r="A76" s="42"/>
      <c r="B76" s="47" t="s">
        <v>76</v>
      </c>
      <c r="C76" s="47"/>
      <c r="D76" s="52"/>
      <c r="E76" s="86"/>
      <c r="F76" s="86"/>
      <c r="G76" s="86"/>
      <c r="H76" s="46"/>
      <c r="I76" s="46"/>
      <c r="J76" s="46"/>
      <c r="K76" s="46">
        <f t="shared" si="35"/>
        <v>0</v>
      </c>
      <c r="L76" s="46">
        <f>SUM(L77:L79)</f>
        <v>9005169.0899999999</v>
      </c>
      <c r="M76" s="46">
        <f t="shared" ref="M76:Q76" si="41">SUM(M77:M79)</f>
        <v>2822884.8000000003</v>
      </c>
      <c r="N76" s="46">
        <f t="shared" si="41"/>
        <v>6507285.5999999996</v>
      </c>
      <c r="O76" s="46">
        <f t="shared" si="41"/>
        <v>18335339.490000002</v>
      </c>
      <c r="P76" s="46">
        <f t="shared" si="41"/>
        <v>18012402.560000002</v>
      </c>
      <c r="Q76" s="46">
        <f t="shared" si="41"/>
        <v>18012402.560000002</v>
      </c>
    </row>
    <row r="77" spans="1:17" ht="105">
      <c r="A77" s="42"/>
      <c r="B77" s="44" t="s">
        <v>19</v>
      </c>
      <c r="C77" s="42" t="s">
        <v>0</v>
      </c>
      <c r="D77" s="50" t="s">
        <v>20</v>
      </c>
      <c r="E77" s="85">
        <v>36</v>
      </c>
      <c r="F77" s="85" t="s">
        <v>72</v>
      </c>
      <c r="G77" s="85" t="s">
        <v>72</v>
      </c>
      <c r="H77" s="46">
        <v>41608.51</v>
      </c>
      <c r="I77" s="46">
        <v>11762.02</v>
      </c>
      <c r="J77" s="46">
        <v>27113.69</v>
      </c>
      <c r="K77" s="46">
        <f t="shared" si="35"/>
        <v>80484.22</v>
      </c>
      <c r="L77" s="46">
        <f t="shared" si="39"/>
        <v>1497906.36</v>
      </c>
      <c r="M77" s="46">
        <f t="shared" si="29"/>
        <v>423432.72000000003</v>
      </c>
      <c r="N77" s="46">
        <f t="shared" si="30"/>
        <v>976092.84</v>
      </c>
      <c r="O77" s="46">
        <f t="shared" si="31"/>
        <v>2897431.92</v>
      </c>
      <c r="P77" s="46">
        <f t="shared" si="32"/>
        <v>3782758.34</v>
      </c>
      <c r="Q77" s="46">
        <f t="shared" si="33"/>
        <v>3782758.34</v>
      </c>
    </row>
    <row r="78" spans="1:17" ht="15">
      <c r="A78" s="49"/>
      <c r="B78" s="44" t="s">
        <v>24</v>
      </c>
      <c r="C78" s="44"/>
      <c r="D78" s="44" t="s">
        <v>20</v>
      </c>
      <c r="E78" s="85">
        <v>153</v>
      </c>
      <c r="F78" s="85" t="s">
        <v>73</v>
      </c>
      <c r="G78" s="85" t="s">
        <v>73</v>
      </c>
      <c r="H78" s="46">
        <v>32991.18</v>
      </c>
      <c r="I78" s="46">
        <v>11762.02</v>
      </c>
      <c r="J78" s="46">
        <v>27113.69</v>
      </c>
      <c r="K78" s="46">
        <f t="shared" si="35"/>
        <v>71866.89</v>
      </c>
      <c r="L78" s="46">
        <f t="shared" si="39"/>
        <v>5047650.54</v>
      </c>
      <c r="M78" s="46">
        <f t="shared" si="29"/>
        <v>1799589.06</v>
      </c>
      <c r="N78" s="46">
        <f t="shared" si="30"/>
        <v>4148394.57</v>
      </c>
      <c r="O78" s="46">
        <f t="shared" si="31"/>
        <v>10995634.17</v>
      </c>
      <c r="P78" s="46">
        <f t="shared" si="32"/>
        <v>14229644.220000001</v>
      </c>
      <c r="Q78" s="46">
        <f t="shared" si="33"/>
        <v>14229644.220000001</v>
      </c>
    </row>
    <row r="79" spans="1:17" ht="120">
      <c r="A79" s="49"/>
      <c r="B79" s="44" t="s">
        <v>24</v>
      </c>
      <c r="C79" s="65" t="s">
        <v>162</v>
      </c>
      <c r="D79" s="50" t="s">
        <v>20</v>
      </c>
      <c r="E79" s="85">
        <v>51</v>
      </c>
      <c r="F79" s="85"/>
      <c r="G79" s="85"/>
      <c r="H79" s="46">
        <v>48227.69</v>
      </c>
      <c r="I79" s="46" t="s">
        <v>163</v>
      </c>
      <c r="J79" s="46" t="s">
        <v>164</v>
      </c>
      <c r="K79" s="46">
        <f t="shared" ref="K79" si="42">H79+I79+J79</f>
        <v>87103.400000000009</v>
      </c>
      <c r="L79" s="46">
        <f t="shared" si="39"/>
        <v>2459612.19</v>
      </c>
      <c r="M79" s="46">
        <f t="shared" si="29"/>
        <v>599863.02</v>
      </c>
      <c r="N79" s="46">
        <f t="shared" si="30"/>
        <v>1382798.19</v>
      </c>
      <c r="O79" s="46">
        <f t="shared" si="31"/>
        <v>4442273.4000000004</v>
      </c>
      <c r="P79" s="46">
        <f t="shared" si="32"/>
        <v>0</v>
      </c>
      <c r="Q79" s="46">
        <f t="shared" si="33"/>
        <v>0</v>
      </c>
    </row>
    <row r="80" spans="1:17" ht="15">
      <c r="A80" s="44"/>
      <c r="B80" s="48" t="s">
        <v>75</v>
      </c>
      <c r="C80" s="48"/>
      <c r="D80" s="44" t="s">
        <v>20</v>
      </c>
      <c r="E80" s="85">
        <v>240</v>
      </c>
      <c r="F80" s="85" t="s">
        <v>74</v>
      </c>
      <c r="G80" s="85" t="s">
        <v>74</v>
      </c>
      <c r="H80" s="46" t="s">
        <v>23</v>
      </c>
      <c r="I80" s="46"/>
      <c r="J80" s="46">
        <v>25992.31</v>
      </c>
      <c r="K80" s="46">
        <f t="shared" si="35"/>
        <v>25992.31</v>
      </c>
      <c r="L80" s="46">
        <f t="shared" si="39"/>
        <v>0</v>
      </c>
      <c r="M80" s="46">
        <f t="shared" si="29"/>
        <v>0</v>
      </c>
      <c r="N80" s="46">
        <f t="shared" si="30"/>
        <v>6238154.4000000004</v>
      </c>
      <c r="O80" s="46">
        <f t="shared" si="31"/>
        <v>6238154.4000000004</v>
      </c>
      <c r="P80" s="46">
        <f t="shared" si="32"/>
        <v>6368115.9500000002</v>
      </c>
      <c r="Q80" s="46">
        <f t="shared" si="33"/>
        <v>6368115.9500000002</v>
      </c>
    </row>
    <row r="81" spans="1:17" ht="18.75">
      <c r="A81" s="111" t="s">
        <v>154</v>
      </c>
      <c r="B81" s="111"/>
      <c r="C81" s="111"/>
      <c r="D81" s="44"/>
      <c r="E81" s="85"/>
      <c r="F81" s="85"/>
      <c r="G81" s="85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ht="30">
      <c r="A82" s="110" t="s">
        <v>3</v>
      </c>
      <c r="B82" s="110" t="s">
        <v>86</v>
      </c>
      <c r="C82" s="63" t="s">
        <v>87</v>
      </c>
      <c r="D82" s="110" t="s">
        <v>4</v>
      </c>
      <c r="E82" s="113" t="s">
        <v>5</v>
      </c>
      <c r="F82" s="113"/>
      <c r="G82" s="113"/>
      <c r="H82" s="112" t="s">
        <v>6</v>
      </c>
      <c r="I82" s="112"/>
      <c r="J82" s="112"/>
      <c r="K82" s="112"/>
      <c r="L82" s="112" t="s">
        <v>7</v>
      </c>
      <c r="M82" s="112"/>
      <c r="N82" s="112"/>
      <c r="O82" s="112"/>
      <c r="P82" s="112"/>
      <c r="Q82" s="112"/>
    </row>
    <row r="83" spans="1:17" ht="120">
      <c r="A83" s="110"/>
      <c r="B83" s="110"/>
      <c r="C83" s="63"/>
      <c r="D83" s="110"/>
      <c r="E83" s="88" t="s">
        <v>8</v>
      </c>
      <c r="F83" s="88" t="s">
        <v>9</v>
      </c>
      <c r="G83" s="88" t="s">
        <v>10</v>
      </c>
      <c r="H83" s="77" t="s">
        <v>88</v>
      </c>
      <c r="I83" s="77" t="s">
        <v>89</v>
      </c>
      <c r="J83" s="77" t="s">
        <v>90</v>
      </c>
      <c r="K83" s="77" t="s">
        <v>91</v>
      </c>
      <c r="L83" s="77" t="s">
        <v>92</v>
      </c>
      <c r="M83" s="77" t="s">
        <v>93</v>
      </c>
      <c r="N83" s="77" t="s">
        <v>94</v>
      </c>
      <c r="O83" s="77" t="s">
        <v>95</v>
      </c>
      <c r="P83" s="77" t="s">
        <v>96</v>
      </c>
      <c r="Q83" s="77" t="s">
        <v>97</v>
      </c>
    </row>
    <row r="84" spans="1:17" ht="45">
      <c r="A84" s="8" t="s">
        <v>13</v>
      </c>
      <c r="B84" s="8" t="s">
        <v>13</v>
      </c>
      <c r="C84" s="8"/>
      <c r="D84" s="8" t="s">
        <v>15</v>
      </c>
      <c r="E84" s="89" t="s">
        <v>16</v>
      </c>
      <c r="F84" s="89" t="s">
        <v>16</v>
      </c>
      <c r="G84" s="89" t="s">
        <v>16</v>
      </c>
      <c r="H84" s="77" t="s">
        <v>17</v>
      </c>
      <c r="I84" s="77" t="s">
        <v>17</v>
      </c>
      <c r="J84" s="77" t="s">
        <v>17</v>
      </c>
      <c r="K84" s="77" t="s">
        <v>17</v>
      </c>
      <c r="L84" s="77" t="s">
        <v>17</v>
      </c>
      <c r="M84" s="77" t="s">
        <v>17</v>
      </c>
      <c r="N84" s="77" t="s">
        <v>17</v>
      </c>
      <c r="O84" s="77" t="s">
        <v>17</v>
      </c>
      <c r="P84" s="77" t="s">
        <v>17</v>
      </c>
      <c r="Q84" s="77" t="s">
        <v>17</v>
      </c>
    </row>
    <row r="85" spans="1:17" ht="90">
      <c r="A85" s="106" t="s">
        <v>98</v>
      </c>
      <c r="B85" s="104" t="s">
        <v>99</v>
      </c>
      <c r="C85" s="9" t="s">
        <v>100</v>
      </c>
      <c r="D85" s="10" t="s">
        <v>101</v>
      </c>
      <c r="E85" s="90">
        <v>227</v>
      </c>
      <c r="F85" s="90">
        <v>227</v>
      </c>
      <c r="G85" s="90">
        <v>227</v>
      </c>
      <c r="H85" s="72">
        <f>SUM(I85:K85)</f>
        <v>43059.57</v>
      </c>
      <c r="I85" s="72">
        <f>22328.93+952.08</f>
        <v>23281.010000000002</v>
      </c>
      <c r="J85" s="72">
        <v>3857.41</v>
      </c>
      <c r="K85" s="72">
        <v>15921.15</v>
      </c>
      <c r="L85" s="73">
        <f>SUM(M85:O85)</f>
        <v>9774522.3900000006</v>
      </c>
      <c r="M85" s="73">
        <f>E85*I85</f>
        <v>5284789.2700000005</v>
      </c>
      <c r="N85" s="73">
        <f>E85*J85</f>
        <v>875632.07</v>
      </c>
      <c r="O85" s="75">
        <f>E85*K85</f>
        <v>3614101.05</v>
      </c>
      <c r="P85" s="75">
        <f>F85*H85</f>
        <v>9774522.3900000006</v>
      </c>
      <c r="Q85" s="75">
        <f>G85*H85</f>
        <v>9774522.3900000006</v>
      </c>
    </row>
    <row r="86" spans="1:17" ht="120">
      <c r="A86" s="106"/>
      <c r="B86" s="104"/>
      <c r="C86" s="15" t="s">
        <v>102</v>
      </c>
      <c r="D86" s="16" t="s">
        <v>101</v>
      </c>
      <c r="E86" s="91">
        <v>3</v>
      </c>
      <c r="F86" s="91">
        <v>3</v>
      </c>
      <c r="G86" s="91">
        <v>3</v>
      </c>
      <c r="H86" s="79">
        <v>22724.03</v>
      </c>
      <c r="I86" s="79">
        <v>22724.03</v>
      </c>
      <c r="J86" s="79" t="s">
        <v>103</v>
      </c>
      <c r="K86" s="79" t="s">
        <v>103</v>
      </c>
      <c r="L86" s="73">
        <f>SUM(M86:O86)</f>
        <v>68172.09</v>
      </c>
      <c r="M86" s="73">
        <f>E86*I86</f>
        <v>68172.09</v>
      </c>
      <c r="N86" s="73" t="s">
        <v>104</v>
      </c>
      <c r="O86" s="78" t="s">
        <v>104</v>
      </c>
      <c r="P86" s="75">
        <f t="shared" ref="P86:P149" si="43">F86*H86</f>
        <v>68172.09</v>
      </c>
      <c r="Q86" s="75">
        <f t="shared" ref="Q86:Q149" si="44">G86*H86</f>
        <v>68172.09</v>
      </c>
    </row>
    <row r="87" spans="1:17" ht="120">
      <c r="A87" s="106"/>
      <c r="B87" s="104"/>
      <c r="C87" s="9" t="s">
        <v>105</v>
      </c>
      <c r="D87" s="16" t="s">
        <v>101</v>
      </c>
      <c r="E87" s="90">
        <v>3</v>
      </c>
      <c r="F87" s="90">
        <v>3</v>
      </c>
      <c r="G87" s="90">
        <v>3</v>
      </c>
      <c r="H87" s="79">
        <f>SUM(I87:K87)</f>
        <v>137159.02000000002</v>
      </c>
      <c r="I87" s="79">
        <f>116428.38+952.08</f>
        <v>117380.46</v>
      </c>
      <c r="J87" s="79">
        <v>3857.41</v>
      </c>
      <c r="K87" s="79">
        <v>15921.15</v>
      </c>
      <c r="L87" s="73">
        <f>SUM(M87:O87)</f>
        <v>411477.06</v>
      </c>
      <c r="M87" s="73">
        <f>E87*I87</f>
        <v>352141.38</v>
      </c>
      <c r="N87" s="73">
        <f>E87*J87</f>
        <v>11572.23</v>
      </c>
      <c r="O87" s="75">
        <f>E87*K87</f>
        <v>47763.45</v>
      </c>
      <c r="P87" s="75">
        <f t="shared" si="43"/>
        <v>411477.06000000006</v>
      </c>
      <c r="Q87" s="75">
        <f t="shared" si="44"/>
        <v>411477.06000000006</v>
      </c>
    </row>
    <row r="88" spans="1:17" ht="15">
      <c r="A88" s="106"/>
      <c r="B88" s="104"/>
      <c r="C88" s="21" t="s">
        <v>106</v>
      </c>
      <c r="D88" s="22"/>
      <c r="E88" s="90">
        <f>E85+E87</f>
        <v>230</v>
      </c>
      <c r="F88" s="90">
        <f t="shared" ref="F88:G88" si="45">F85+F87</f>
        <v>230</v>
      </c>
      <c r="G88" s="90">
        <f t="shared" si="45"/>
        <v>230</v>
      </c>
      <c r="H88" s="73" t="s">
        <v>104</v>
      </c>
      <c r="I88" s="73" t="s">
        <v>104</v>
      </c>
      <c r="J88" s="73" t="s">
        <v>104</v>
      </c>
      <c r="K88" s="73" t="s">
        <v>104</v>
      </c>
      <c r="L88" s="73">
        <f t="shared" ref="L88:O88" si="46">SUM(L85:L87)</f>
        <v>10254171.540000001</v>
      </c>
      <c r="M88" s="73">
        <f t="shared" si="46"/>
        <v>5705102.7400000002</v>
      </c>
      <c r="N88" s="73">
        <f t="shared" si="46"/>
        <v>887204.29999999993</v>
      </c>
      <c r="O88" s="73">
        <f t="shared" si="46"/>
        <v>3661864.5</v>
      </c>
      <c r="P88" s="75">
        <f>SUM(P85:P87)</f>
        <v>10254171.540000001</v>
      </c>
      <c r="Q88" s="75">
        <f>SUM(Q85:Q87)</f>
        <v>10254171.540000001</v>
      </c>
    </row>
    <row r="89" spans="1:17" ht="90">
      <c r="A89" s="106"/>
      <c r="B89" s="104" t="s">
        <v>107</v>
      </c>
      <c r="C89" s="9" t="s">
        <v>100</v>
      </c>
      <c r="D89" s="10" t="s">
        <v>101</v>
      </c>
      <c r="E89" s="90">
        <v>227</v>
      </c>
      <c r="F89" s="90">
        <v>227</v>
      </c>
      <c r="G89" s="90">
        <v>227</v>
      </c>
      <c r="H89" s="72">
        <f>SUM(I89:K89)</f>
        <v>54095.340000000004</v>
      </c>
      <c r="I89" s="72">
        <f>33147.58+1169.2</f>
        <v>34316.78</v>
      </c>
      <c r="J89" s="72">
        <v>3857.41</v>
      </c>
      <c r="K89" s="79">
        <v>15921.15</v>
      </c>
      <c r="L89" s="73">
        <f>SUM(M89:O89)</f>
        <v>12279642.18</v>
      </c>
      <c r="M89" s="73">
        <f>E89*I89</f>
        <v>7789909.0599999996</v>
      </c>
      <c r="N89" s="73">
        <f>E89*J89</f>
        <v>875632.07</v>
      </c>
      <c r="O89" s="73">
        <f>E89*K89</f>
        <v>3614101.05</v>
      </c>
      <c r="P89" s="75">
        <f t="shared" si="43"/>
        <v>12279642.180000002</v>
      </c>
      <c r="Q89" s="75">
        <f t="shared" si="44"/>
        <v>12279642.180000002</v>
      </c>
    </row>
    <row r="90" spans="1:17" ht="120">
      <c r="A90" s="106"/>
      <c r="B90" s="104"/>
      <c r="C90" s="15" t="s">
        <v>102</v>
      </c>
      <c r="D90" s="16" t="s">
        <v>101</v>
      </c>
      <c r="E90" s="92">
        <v>1</v>
      </c>
      <c r="F90" s="92">
        <v>1</v>
      </c>
      <c r="G90" s="92">
        <v>1</v>
      </c>
      <c r="H90" s="79">
        <v>22724.03</v>
      </c>
      <c r="I90" s="79">
        <v>22724.03</v>
      </c>
      <c r="J90" s="79" t="s">
        <v>103</v>
      </c>
      <c r="K90" s="79" t="s">
        <v>103</v>
      </c>
      <c r="L90" s="73">
        <f>SUM(M90:O90)</f>
        <v>22724.03</v>
      </c>
      <c r="M90" s="73">
        <f>E90*I90</f>
        <v>22724.03</v>
      </c>
      <c r="N90" s="73" t="s">
        <v>104</v>
      </c>
      <c r="O90" s="78" t="s">
        <v>104</v>
      </c>
      <c r="P90" s="75">
        <f t="shared" si="43"/>
        <v>22724.03</v>
      </c>
      <c r="Q90" s="75">
        <f t="shared" si="44"/>
        <v>22724.03</v>
      </c>
    </row>
    <row r="91" spans="1:17" ht="120">
      <c r="A91" s="106"/>
      <c r="B91" s="104"/>
      <c r="C91" s="9" t="s">
        <v>105</v>
      </c>
      <c r="D91" s="16" t="s">
        <v>101</v>
      </c>
      <c r="E91" s="92"/>
      <c r="F91" s="92"/>
      <c r="G91" s="92"/>
      <c r="H91" s="80"/>
      <c r="I91" s="80"/>
      <c r="J91" s="80"/>
      <c r="K91" s="81"/>
      <c r="L91" s="81"/>
      <c r="M91" s="81"/>
      <c r="N91" s="81"/>
      <c r="O91" s="81"/>
      <c r="P91" s="75">
        <f t="shared" si="43"/>
        <v>0</v>
      </c>
      <c r="Q91" s="75">
        <f t="shared" si="44"/>
        <v>0</v>
      </c>
    </row>
    <row r="92" spans="1:17" ht="15">
      <c r="A92" s="106"/>
      <c r="B92" s="64"/>
      <c r="C92" s="21" t="s">
        <v>106</v>
      </c>
      <c r="D92" s="16"/>
      <c r="E92" s="92">
        <f>E89+E91</f>
        <v>227</v>
      </c>
      <c r="F92" s="92">
        <f t="shared" ref="F92:G92" si="47">F89+F91</f>
        <v>227</v>
      </c>
      <c r="G92" s="92">
        <f t="shared" si="47"/>
        <v>227</v>
      </c>
      <c r="H92" s="80" t="s">
        <v>104</v>
      </c>
      <c r="I92" s="80" t="s">
        <v>104</v>
      </c>
      <c r="J92" s="80" t="s">
        <v>104</v>
      </c>
      <c r="K92" s="80" t="s">
        <v>104</v>
      </c>
      <c r="L92" s="80">
        <f t="shared" ref="L92:Q92" si="48">SUM(L89:L91)</f>
        <v>12302366.209999999</v>
      </c>
      <c r="M92" s="80">
        <f t="shared" si="48"/>
        <v>7812633.0899999999</v>
      </c>
      <c r="N92" s="80">
        <f t="shared" si="48"/>
        <v>875632.07</v>
      </c>
      <c r="O92" s="80">
        <f t="shared" si="48"/>
        <v>3614101.05</v>
      </c>
      <c r="P92" s="80">
        <f t="shared" si="48"/>
        <v>12302366.210000001</v>
      </c>
      <c r="Q92" s="80">
        <f t="shared" si="48"/>
        <v>12302366.210000001</v>
      </c>
    </row>
    <row r="93" spans="1:17" ht="90">
      <c r="A93" s="106"/>
      <c r="B93" s="104" t="s">
        <v>108</v>
      </c>
      <c r="C93" s="9" t="s">
        <v>100</v>
      </c>
      <c r="D93" s="10" t="s">
        <v>101</v>
      </c>
      <c r="E93" s="92">
        <v>43</v>
      </c>
      <c r="F93" s="92">
        <v>43</v>
      </c>
      <c r="G93" s="92">
        <v>43</v>
      </c>
      <c r="H93" s="72">
        <f>SUM(I93:K93)</f>
        <v>60807.1</v>
      </c>
      <c r="I93" s="72">
        <f>39660.87+1367.67</f>
        <v>41028.54</v>
      </c>
      <c r="J93" s="72">
        <v>3857.41</v>
      </c>
      <c r="K93" s="79">
        <v>15921.15</v>
      </c>
      <c r="L93" s="81">
        <f>SUM(M93:O93)</f>
        <v>2614705.2999999998</v>
      </c>
      <c r="M93" s="81">
        <f>E93*I93</f>
        <v>1764227.22</v>
      </c>
      <c r="N93" s="81">
        <f>E93*J93</f>
        <v>165868.63</v>
      </c>
      <c r="O93" s="81">
        <f>E93*K93</f>
        <v>684609.45</v>
      </c>
      <c r="P93" s="75">
        <f t="shared" si="43"/>
        <v>2614705.2999999998</v>
      </c>
      <c r="Q93" s="75">
        <f t="shared" si="44"/>
        <v>2614705.2999999998</v>
      </c>
    </row>
    <row r="94" spans="1:17" ht="120">
      <c r="A94" s="106"/>
      <c r="B94" s="104"/>
      <c r="C94" s="15" t="s">
        <v>102</v>
      </c>
      <c r="D94" s="16" t="s">
        <v>101</v>
      </c>
      <c r="E94" s="92"/>
      <c r="F94" s="92"/>
      <c r="G94" s="92"/>
      <c r="H94" s="79">
        <v>22724.03</v>
      </c>
      <c r="I94" s="79">
        <v>22724.03</v>
      </c>
      <c r="J94" s="79" t="s">
        <v>103</v>
      </c>
      <c r="K94" s="79" t="s">
        <v>103</v>
      </c>
      <c r="L94" s="73">
        <f>SUM(M94:O94)</f>
        <v>0</v>
      </c>
      <c r="M94" s="73">
        <f>E94*I94</f>
        <v>0</v>
      </c>
      <c r="N94" s="73" t="s">
        <v>104</v>
      </c>
      <c r="O94" s="78" t="s">
        <v>104</v>
      </c>
      <c r="P94" s="75">
        <f t="shared" si="43"/>
        <v>0</v>
      </c>
      <c r="Q94" s="75">
        <f t="shared" si="44"/>
        <v>0</v>
      </c>
    </row>
    <row r="95" spans="1:17" ht="120">
      <c r="A95" s="106"/>
      <c r="B95" s="104"/>
      <c r="C95" s="9" t="s">
        <v>105</v>
      </c>
      <c r="D95" s="16" t="s">
        <v>101</v>
      </c>
      <c r="E95" s="92"/>
      <c r="F95" s="92"/>
      <c r="G95" s="92"/>
      <c r="H95" s="80"/>
      <c r="I95" s="80"/>
      <c r="J95" s="80"/>
      <c r="K95" s="81"/>
      <c r="L95" s="81"/>
      <c r="M95" s="81"/>
      <c r="N95" s="81"/>
      <c r="O95" s="81"/>
      <c r="P95" s="75">
        <f t="shared" si="43"/>
        <v>0</v>
      </c>
      <c r="Q95" s="75">
        <f t="shared" si="44"/>
        <v>0</v>
      </c>
    </row>
    <row r="96" spans="1:17" ht="15">
      <c r="A96" s="106"/>
      <c r="B96" s="64"/>
      <c r="C96" s="21" t="s">
        <v>106</v>
      </c>
      <c r="D96" s="16"/>
      <c r="E96" s="92">
        <f>SUM(E93:E95)</f>
        <v>43</v>
      </c>
      <c r="F96" s="92">
        <f t="shared" ref="F96:Q96" si="49">SUM(F93:F95)</f>
        <v>43</v>
      </c>
      <c r="G96" s="92">
        <f t="shared" si="49"/>
        <v>43</v>
      </c>
      <c r="H96" s="80" t="s">
        <v>104</v>
      </c>
      <c r="I96" s="80" t="s">
        <v>104</v>
      </c>
      <c r="J96" s="80" t="s">
        <v>104</v>
      </c>
      <c r="K96" s="80" t="s">
        <v>104</v>
      </c>
      <c r="L96" s="80">
        <f t="shared" si="49"/>
        <v>2614705.2999999998</v>
      </c>
      <c r="M96" s="80">
        <f t="shared" si="49"/>
        <v>1764227.22</v>
      </c>
      <c r="N96" s="80">
        <f t="shared" si="49"/>
        <v>165868.63</v>
      </c>
      <c r="O96" s="80">
        <f t="shared" si="49"/>
        <v>684609.45</v>
      </c>
      <c r="P96" s="80">
        <f t="shared" si="49"/>
        <v>2614705.2999999998</v>
      </c>
      <c r="Q96" s="80">
        <f t="shared" si="49"/>
        <v>2614705.2999999998</v>
      </c>
    </row>
    <row r="97" spans="1:17" ht="165">
      <c r="A97" s="106"/>
      <c r="B97" s="105" t="s">
        <v>109</v>
      </c>
      <c r="C97" s="9" t="s">
        <v>110</v>
      </c>
      <c r="D97" s="16" t="s">
        <v>101</v>
      </c>
      <c r="E97" s="92">
        <v>300</v>
      </c>
      <c r="F97" s="92">
        <v>300</v>
      </c>
      <c r="G97" s="92">
        <v>300</v>
      </c>
      <c r="H97" s="79">
        <f>I97</f>
        <v>2770.76</v>
      </c>
      <c r="I97" s="79">
        <v>2770.76</v>
      </c>
      <c r="J97" s="79" t="s">
        <v>104</v>
      </c>
      <c r="K97" s="79" t="s">
        <v>104</v>
      </c>
      <c r="L97" s="81">
        <f>SUM(M97:O97)</f>
        <v>831228.00000000012</v>
      </c>
      <c r="M97" s="81">
        <f>I97*E97</f>
        <v>831228.00000000012</v>
      </c>
      <c r="N97" s="81" t="s">
        <v>104</v>
      </c>
      <c r="O97" s="81" t="s">
        <v>104</v>
      </c>
      <c r="P97" s="75">
        <f t="shared" si="43"/>
        <v>831228.00000000012</v>
      </c>
      <c r="Q97" s="75">
        <f t="shared" si="44"/>
        <v>831228.00000000012</v>
      </c>
    </row>
    <row r="98" spans="1:17" ht="180">
      <c r="A98" s="106"/>
      <c r="B98" s="105"/>
      <c r="C98" s="9" t="s">
        <v>111</v>
      </c>
      <c r="D98" s="16" t="s">
        <v>101</v>
      </c>
      <c r="E98" s="92">
        <v>286</v>
      </c>
      <c r="F98" s="92">
        <v>286</v>
      </c>
      <c r="G98" s="92">
        <v>286</v>
      </c>
      <c r="H98" s="79">
        <v>3829.24</v>
      </c>
      <c r="I98" s="79">
        <f>H98</f>
        <v>3829.24</v>
      </c>
      <c r="J98" s="79" t="s">
        <v>104</v>
      </c>
      <c r="K98" s="79" t="s">
        <v>104</v>
      </c>
      <c r="L98" s="81">
        <f>SUM(M98:O98)</f>
        <v>1095162.6399999999</v>
      </c>
      <c r="M98" s="81">
        <f>I98*E98</f>
        <v>1095162.6399999999</v>
      </c>
      <c r="N98" s="82" t="s">
        <v>104</v>
      </c>
      <c r="O98" s="74" t="s">
        <v>104</v>
      </c>
      <c r="P98" s="75">
        <f t="shared" si="43"/>
        <v>1095162.6399999999</v>
      </c>
      <c r="Q98" s="75">
        <f t="shared" si="44"/>
        <v>1095162.6399999999</v>
      </c>
    </row>
    <row r="99" spans="1:17" ht="15">
      <c r="A99" s="106"/>
      <c r="B99" s="29"/>
      <c r="C99" s="21" t="s">
        <v>106</v>
      </c>
      <c r="D99" s="29"/>
      <c r="E99" s="92">
        <f>SUM(E97:E98)</f>
        <v>586</v>
      </c>
      <c r="F99" s="92">
        <f t="shared" ref="F99:O99" si="50">SUM(F97:F98)</f>
        <v>586</v>
      </c>
      <c r="G99" s="92">
        <f t="shared" si="50"/>
        <v>586</v>
      </c>
      <c r="H99" s="80" t="s">
        <v>104</v>
      </c>
      <c r="I99" s="80" t="s">
        <v>104</v>
      </c>
      <c r="J99" s="80" t="s">
        <v>104</v>
      </c>
      <c r="K99" s="80">
        <f t="shared" si="50"/>
        <v>0</v>
      </c>
      <c r="L99" s="80">
        <f t="shared" si="50"/>
        <v>1926390.6400000001</v>
      </c>
      <c r="M99" s="80">
        <f t="shared" si="50"/>
        <v>1926390.6400000001</v>
      </c>
      <c r="N99" s="80">
        <f t="shared" si="50"/>
        <v>0</v>
      </c>
      <c r="O99" s="74">
        <f t="shared" si="50"/>
        <v>0</v>
      </c>
      <c r="P99" s="75">
        <f>SUM(P97:P98)</f>
        <v>1926390.6400000001</v>
      </c>
      <c r="Q99" s="75">
        <f>SUM(Q97:Q98)</f>
        <v>1926390.6400000001</v>
      </c>
    </row>
    <row r="100" spans="1:17" ht="14.25">
      <c r="A100" s="106"/>
      <c r="B100" s="30" t="s">
        <v>112</v>
      </c>
      <c r="C100" s="30"/>
      <c r="D100" s="29"/>
      <c r="E100" s="93"/>
      <c r="F100" s="93"/>
      <c r="G100" s="93"/>
      <c r="H100" s="74"/>
      <c r="I100" s="74"/>
      <c r="J100" s="74"/>
      <c r="K100" s="74"/>
      <c r="L100" s="74">
        <f>SUM(M100:O100)</f>
        <v>27097633.690000001</v>
      </c>
      <c r="M100" s="74">
        <f t="shared" ref="M100:Q100" si="51">M88+M92+M96+M99</f>
        <v>17208353.690000001</v>
      </c>
      <c r="N100" s="74">
        <f t="shared" si="51"/>
        <v>1928705</v>
      </c>
      <c r="O100" s="74">
        <f t="shared" si="51"/>
        <v>7960575</v>
      </c>
      <c r="P100" s="74">
        <f t="shared" si="51"/>
        <v>27097633.690000001</v>
      </c>
      <c r="Q100" s="74">
        <f t="shared" si="51"/>
        <v>27097633.690000001</v>
      </c>
    </row>
    <row r="101" spans="1:17" ht="90">
      <c r="A101" s="106" t="s">
        <v>113</v>
      </c>
      <c r="B101" s="104" t="s">
        <v>99</v>
      </c>
      <c r="C101" s="9" t="s">
        <v>100</v>
      </c>
      <c r="D101" s="10" t="s">
        <v>101</v>
      </c>
      <c r="E101" s="90">
        <v>204</v>
      </c>
      <c r="F101" s="90">
        <v>205</v>
      </c>
      <c r="G101" s="90">
        <v>203</v>
      </c>
      <c r="H101" s="72">
        <f>SUM(I101:K101)</f>
        <v>43059.57</v>
      </c>
      <c r="I101" s="72">
        <f>22328.93+952.08</f>
        <v>23281.010000000002</v>
      </c>
      <c r="J101" s="72">
        <v>3857.41</v>
      </c>
      <c r="K101" s="72">
        <v>15921.15</v>
      </c>
      <c r="L101" s="73">
        <f>SUM(M101:O101)</f>
        <v>8784152.2799999993</v>
      </c>
      <c r="M101" s="73">
        <f>E101*I101</f>
        <v>4749326.04</v>
      </c>
      <c r="N101" s="73">
        <f>E101*J101</f>
        <v>786911.64</v>
      </c>
      <c r="O101" s="75">
        <f>E101*K101</f>
        <v>3247914.6</v>
      </c>
      <c r="P101" s="75">
        <f t="shared" si="43"/>
        <v>8827211.8499999996</v>
      </c>
      <c r="Q101" s="75">
        <f t="shared" si="44"/>
        <v>8741092.709999999</v>
      </c>
    </row>
    <row r="102" spans="1:17" ht="120">
      <c r="A102" s="106"/>
      <c r="B102" s="104"/>
      <c r="C102" s="15" t="s">
        <v>102</v>
      </c>
      <c r="D102" s="16" t="s">
        <v>101</v>
      </c>
      <c r="E102" s="91">
        <v>3</v>
      </c>
      <c r="F102" s="91">
        <v>1</v>
      </c>
      <c r="G102" s="91">
        <v>1</v>
      </c>
      <c r="H102" s="79">
        <v>22724.03</v>
      </c>
      <c r="I102" s="79">
        <v>22724.03</v>
      </c>
      <c r="J102" s="79" t="s">
        <v>103</v>
      </c>
      <c r="K102" s="79" t="s">
        <v>103</v>
      </c>
      <c r="L102" s="73">
        <f>SUM(M102:O102)</f>
        <v>68172.09</v>
      </c>
      <c r="M102" s="73">
        <f>E102*I102</f>
        <v>68172.09</v>
      </c>
      <c r="N102" s="73" t="s">
        <v>104</v>
      </c>
      <c r="O102" s="78" t="s">
        <v>104</v>
      </c>
      <c r="P102" s="75">
        <f t="shared" si="43"/>
        <v>22724.03</v>
      </c>
      <c r="Q102" s="75">
        <f t="shared" si="44"/>
        <v>22724.03</v>
      </c>
    </row>
    <row r="103" spans="1:17" ht="120">
      <c r="A103" s="106"/>
      <c r="B103" s="104"/>
      <c r="C103" s="9" t="s">
        <v>105</v>
      </c>
      <c r="D103" s="16" t="s">
        <v>101</v>
      </c>
      <c r="E103" s="90"/>
      <c r="F103" s="90">
        <v>1</v>
      </c>
      <c r="G103" s="90">
        <v>1</v>
      </c>
      <c r="H103" s="79">
        <f>SUM(I103:K103)</f>
        <v>137159.02000000002</v>
      </c>
      <c r="I103" s="79">
        <f>116428.38+952.08</f>
        <v>117380.46</v>
      </c>
      <c r="J103" s="79">
        <v>3857.41</v>
      </c>
      <c r="K103" s="79">
        <v>15921.15</v>
      </c>
      <c r="L103" s="73">
        <f>SUM(M103:O103)</f>
        <v>0</v>
      </c>
      <c r="M103" s="73">
        <f>E103*I103</f>
        <v>0</v>
      </c>
      <c r="N103" s="73">
        <f>E103*J103</f>
        <v>0</v>
      </c>
      <c r="O103" s="75">
        <f>E103*K103</f>
        <v>0</v>
      </c>
      <c r="P103" s="75">
        <f t="shared" si="43"/>
        <v>137159.02000000002</v>
      </c>
      <c r="Q103" s="75">
        <f t="shared" si="44"/>
        <v>137159.02000000002</v>
      </c>
    </row>
    <row r="104" spans="1:17" ht="15">
      <c r="A104" s="106"/>
      <c r="B104" s="104"/>
      <c r="C104" s="21" t="s">
        <v>106</v>
      </c>
      <c r="D104" s="22"/>
      <c r="E104" s="90">
        <f>E101+E103</f>
        <v>204</v>
      </c>
      <c r="F104" s="90">
        <f>F101+F103</f>
        <v>206</v>
      </c>
      <c r="G104" s="90">
        <f t="shared" ref="G104" si="52">G101+G103</f>
        <v>204</v>
      </c>
      <c r="H104" s="73" t="s">
        <v>104</v>
      </c>
      <c r="I104" s="73" t="s">
        <v>104</v>
      </c>
      <c r="J104" s="73" t="s">
        <v>104</v>
      </c>
      <c r="K104" s="73" t="s">
        <v>104</v>
      </c>
      <c r="L104" s="73">
        <f t="shared" ref="L104:O104" si="53">SUM(L101:L103)</f>
        <v>8852324.3699999992</v>
      </c>
      <c r="M104" s="73">
        <f t="shared" si="53"/>
        <v>4817498.13</v>
      </c>
      <c r="N104" s="73">
        <f t="shared" si="53"/>
        <v>786911.64</v>
      </c>
      <c r="O104" s="73">
        <f t="shared" si="53"/>
        <v>3247914.6</v>
      </c>
      <c r="P104" s="75">
        <f>SUM(P101:P103)</f>
        <v>8987094.8999999985</v>
      </c>
      <c r="Q104" s="75">
        <f>SUM(Q101:Q103)</f>
        <v>8900975.7599999979</v>
      </c>
    </row>
    <row r="105" spans="1:17" ht="90">
      <c r="A105" s="106"/>
      <c r="B105" s="104" t="s">
        <v>107</v>
      </c>
      <c r="C105" s="9" t="s">
        <v>100</v>
      </c>
      <c r="D105" s="10" t="s">
        <v>101</v>
      </c>
      <c r="E105" s="90">
        <v>240</v>
      </c>
      <c r="F105" s="90">
        <v>233</v>
      </c>
      <c r="G105" s="90">
        <v>244</v>
      </c>
      <c r="H105" s="72">
        <f>SUM(I105:K105)</f>
        <v>54095.340000000004</v>
      </c>
      <c r="I105" s="72">
        <f>33147.58+1169.2</f>
        <v>34316.78</v>
      </c>
      <c r="J105" s="72">
        <v>3857.41</v>
      </c>
      <c r="K105" s="79">
        <v>15921.15</v>
      </c>
      <c r="L105" s="73">
        <f>SUM(M105:O105)</f>
        <v>12982881.6</v>
      </c>
      <c r="M105" s="73">
        <f>E105*I105</f>
        <v>8236027.1999999993</v>
      </c>
      <c r="N105" s="73">
        <f>E105*J105</f>
        <v>925778.39999999991</v>
      </c>
      <c r="O105" s="73">
        <f>E105*K105</f>
        <v>3821076</v>
      </c>
      <c r="P105" s="75">
        <f t="shared" si="43"/>
        <v>12604214.220000001</v>
      </c>
      <c r="Q105" s="75">
        <f t="shared" si="44"/>
        <v>13199262.960000001</v>
      </c>
    </row>
    <row r="106" spans="1:17" ht="120">
      <c r="A106" s="106"/>
      <c r="B106" s="104"/>
      <c r="C106" s="15" t="s">
        <v>102</v>
      </c>
      <c r="D106" s="16" t="s">
        <v>101</v>
      </c>
      <c r="E106" s="92">
        <v>3</v>
      </c>
      <c r="F106" s="92">
        <v>4</v>
      </c>
      <c r="G106" s="92">
        <v>4</v>
      </c>
      <c r="H106" s="79">
        <v>22724.03</v>
      </c>
      <c r="I106" s="79">
        <v>22724.03</v>
      </c>
      <c r="J106" s="79" t="s">
        <v>103</v>
      </c>
      <c r="K106" s="79" t="s">
        <v>103</v>
      </c>
      <c r="L106" s="73">
        <f>SUM(M106:O106)</f>
        <v>68172.09</v>
      </c>
      <c r="M106" s="73">
        <f>E106*I106</f>
        <v>68172.09</v>
      </c>
      <c r="N106" s="73" t="s">
        <v>104</v>
      </c>
      <c r="O106" s="78" t="s">
        <v>104</v>
      </c>
      <c r="P106" s="75">
        <f t="shared" si="43"/>
        <v>90896.12</v>
      </c>
      <c r="Q106" s="75">
        <f t="shared" si="44"/>
        <v>90896.12</v>
      </c>
    </row>
    <row r="107" spans="1:17" ht="120">
      <c r="A107" s="106"/>
      <c r="B107" s="104"/>
      <c r="C107" s="9" t="s">
        <v>105</v>
      </c>
      <c r="D107" s="16" t="s">
        <v>101</v>
      </c>
      <c r="E107" s="92">
        <v>5</v>
      </c>
      <c r="F107" s="92">
        <v>4</v>
      </c>
      <c r="G107" s="92">
        <v>4</v>
      </c>
      <c r="H107" s="79">
        <f>SUM(I107:K107)</f>
        <v>166124.72</v>
      </c>
      <c r="I107" s="79">
        <f>145176.96+1169.2</f>
        <v>146346.16</v>
      </c>
      <c r="J107" s="79">
        <v>3857.41</v>
      </c>
      <c r="K107" s="79">
        <v>15921.15</v>
      </c>
      <c r="L107" s="73">
        <f>SUM(M107:O107)</f>
        <v>830623.60000000009</v>
      </c>
      <c r="M107" s="73">
        <f>E107*I107</f>
        <v>731730.8</v>
      </c>
      <c r="N107" s="81">
        <f>E107*J107</f>
        <v>19287.05</v>
      </c>
      <c r="O107" s="81">
        <f>E107*K107</f>
        <v>79605.75</v>
      </c>
      <c r="P107" s="75">
        <f t="shared" si="43"/>
        <v>664498.88</v>
      </c>
      <c r="Q107" s="75">
        <f t="shared" si="44"/>
        <v>664498.88</v>
      </c>
    </row>
    <row r="108" spans="1:17" ht="15">
      <c r="A108" s="106"/>
      <c r="B108" s="64"/>
      <c r="C108" s="21" t="s">
        <v>106</v>
      </c>
      <c r="D108" s="16"/>
      <c r="E108" s="92">
        <f>E105+E107</f>
        <v>245</v>
      </c>
      <c r="F108" s="92">
        <f t="shared" ref="F108:G108" si="54">F105+F107</f>
        <v>237</v>
      </c>
      <c r="G108" s="92">
        <f t="shared" si="54"/>
        <v>248</v>
      </c>
      <c r="H108" s="80" t="s">
        <v>104</v>
      </c>
      <c r="I108" s="80" t="s">
        <v>104</v>
      </c>
      <c r="J108" s="80" t="s">
        <v>104</v>
      </c>
      <c r="K108" s="80" t="s">
        <v>104</v>
      </c>
      <c r="L108" s="80">
        <f t="shared" ref="L108:O108" si="55">SUM(L105:L107)</f>
        <v>13881677.289999999</v>
      </c>
      <c r="M108" s="80">
        <f t="shared" si="55"/>
        <v>9035930.0899999999</v>
      </c>
      <c r="N108" s="80">
        <f t="shared" si="55"/>
        <v>945065.45</v>
      </c>
      <c r="O108" s="80">
        <f t="shared" si="55"/>
        <v>3900681.75</v>
      </c>
      <c r="P108" s="75">
        <f>SUM(P105:P107)</f>
        <v>13359609.220000001</v>
      </c>
      <c r="Q108" s="75">
        <f>SUM(Q105:Q107)</f>
        <v>13954657.960000001</v>
      </c>
    </row>
    <row r="109" spans="1:17" ht="90">
      <c r="A109" s="106"/>
      <c r="B109" s="104" t="s">
        <v>108</v>
      </c>
      <c r="C109" s="9" t="s">
        <v>100</v>
      </c>
      <c r="D109" s="10" t="s">
        <v>101</v>
      </c>
      <c r="E109" s="92">
        <v>36</v>
      </c>
      <c r="F109" s="92">
        <v>46</v>
      </c>
      <c r="G109" s="92">
        <v>50</v>
      </c>
      <c r="H109" s="72">
        <f>SUM(I109:K109)</f>
        <v>60807.1</v>
      </c>
      <c r="I109" s="72">
        <f>39660.87+1367.67</f>
        <v>41028.54</v>
      </c>
      <c r="J109" s="72">
        <v>3857.41</v>
      </c>
      <c r="K109" s="79">
        <v>15921.15</v>
      </c>
      <c r="L109" s="81">
        <f>SUM(M109:O109)</f>
        <v>2189055.6</v>
      </c>
      <c r="M109" s="81">
        <f>E109*I109</f>
        <v>1477027.44</v>
      </c>
      <c r="N109" s="81">
        <f>E109*J109</f>
        <v>138866.76</v>
      </c>
      <c r="O109" s="81">
        <f>E109*K109</f>
        <v>573161.4</v>
      </c>
      <c r="P109" s="75">
        <f t="shared" si="43"/>
        <v>2797126.6</v>
      </c>
      <c r="Q109" s="75">
        <f t="shared" si="44"/>
        <v>3040355</v>
      </c>
    </row>
    <row r="110" spans="1:17" ht="120">
      <c r="A110" s="106"/>
      <c r="B110" s="104"/>
      <c r="C110" s="15" t="s">
        <v>102</v>
      </c>
      <c r="D110" s="16" t="s">
        <v>101</v>
      </c>
      <c r="E110" s="92">
        <v>2</v>
      </c>
      <c r="F110" s="92"/>
      <c r="G110" s="92"/>
      <c r="H110" s="79">
        <v>22724.03</v>
      </c>
      <c r="I110" s="79">
        <v>22724.03</v>
      </c>
      <c r="J110" s="79" t="s">
        <v>103</v>
      </c>
      <c r="K110" s="79" t="s">
        <v>103</v>
      </c>
      <c r="L110" s="73">
        <f>SUM(M110:O110)</f>
        <v>45448.06</v>
      </c>
      <c r="M110" s="73">
        <f>E110*I110</f>
        <v>45448.06</v>
      </c>
      <c r="N110" s="73" t="s">
        <v>104</v>
      </c>
      <c r="O110" s="78" t="s">
        <v>104</v>
      </c>
      <c r="P110" s="75">
        <f t="shared" si="43"/>
        <v>0</v>
      </c>
      <c r="Q110" s="75">
        <f t="shared" si="44"/>
        <v>0</v>
      </c>
    </row>
    <row r="111" spans="1:17" ht="120">
      <c r="A111" s="106"/>
      <c r="B111" s="104"/>
      <c r="C111" s="9" t="s">
        <v>105</v>
      </c>
      <c r="D111" s="16" t="s">
        <v>101</v>
      </c>
      <c r="E111" s="92"/>
      <c r="F111" s="92"/>
      <c r="G111" s="92"/>
      <c r="H111" s="80"/>
      <c r="I111" s="80"/>
      <c r="J111" s="80"/>
      <c r="K111" s="81"/>
      <c r="L111" s="81"/>
      <c r="M111" s="81"/>
      <c r="N111" s="81"/>
      <c r="O111" s="81"/>
      <c r="P111" s="75">
        <f t="shared" si="43"/>
        <v>0</v>
      </c>
      <c r="Q111" s="75">
        <f t="shared" si="44"/>
        <v>0</v>
      </c>
    </row>
    <row r="112" spans="1:17" ht="15">
      <c r="A112" s="106"/>
      <c r="B112" s="64"/>
      <c r="C112" s="21" t="s">
        <v>106</v>
      </c>
      <c r="D112" s="16"/>
      <c r="E112" s="92">
        <f>E109+E111</f>
        <v>36</v>
      </c>
      <c r="F112" s="92">
        <f t="shared" ref="F112:G112" si="56">F109+F111</f>
        <v>46</v>
      </c>
      <c r="G112" s="92">
        <f t="shared" si="56"/>
        <v>50</v>
      </c>
      <c r="H112" s="80" t="s">
        <v>104</v>
      </c>
      <c r="I112" s="80" t="s">
        <v>104</v>
      </c>
      <c r="J112" s="80" t="s">
        <v>104</v>
      </c>
      <c r="K112" s="80" t="s">
        <v>104</v>
      </c>
      <c r="L112" s="80">
        <f t="shared" ref="L112:O112" si="57">SUM(L109:L111)</f>
        <v>2234503.66</v>
      </c>
      <c r="M112" s="80">
        <f t="shared" si="57"/>
        <v>1522475.5</v>
      </c>
      <c r="N112" s="80">
        <f t="shared" si="57"/>
        <v>138866.76</v>
      </c>
      <c r="O112" s="80">
        <f t="shared" si="57"/>
        <v>573161.4</v>
      </c>
      <c r="P112" s="75">
        <f>SUM(P109:P111)</f>
        <v>2797126.6</v>
      </c>
      <c r="Q112" s="75">
        <f>SUM(Q109:Q111)</f>
        <v>3040355</v>
      </c>
    </row>
    <row r="113" spans="1:17" ht="165">
      <c r="A113" s="106"/>
      <c r="B113" s="105" t="s">
        <v>109</v>
      </c>
      <c r="C113" s="9" t="s">
        <v>110</v>
      </c>
      <c r="D113" s="16" t="s">
        <v>101</v>
      </c>
      <c r="E113" s="92">
        <v>218</v>
      </c>
      <c r="F113" s="92">
        <v>220</v>
      </c>
      <c r="G113" s="92">
        <v>227</v>
      </c>
      <c r="H113" s="79">
        <f>I113</f>
        <v>2770.76</v>
      </c>
      <c r="I113" s="79">
        <v>2770.76</v>
      </c>
      <c r="J113" s="79" t="s">
        <v>104</v>
      </c>
      <c r="K113" s="79" t="s">
        <v>104</v>
      </c>
      <c r="L113" s="81">
        <f>SUM(M113:O113)</f>
        <v>604025.68000000005</v>
      </c>
      <c r="M113" s="81">
        <f>I113*E113</f>
        <v>604025.68000000005</v>
      </c>
      <c r="N113" s="81" t="s">
        <v>104</v>
      </c>
      <c r="O113" s="81" t="s">
        <v>104</v>
      </c>
      <c r="P113" s="75">
        <f t="shared" si="43"/>
        <v>609567.20000000007</v>
      </c>
      <c r="Q113" s="75">
        <f t="shared" si="44"/>
        <v>628962.52</v>
      </c>
    </row>
    <row r="114" spans="1:17" ht="180">
      <c r="A114" s="106"/>
      <c r="B114" s="105"/>
      <c r="C114" s="9" t="s">
        <v>111</v>
      </c>
      <c r="D114" s="16" t="s">
        <v>101</v>
      </c>
      <c r="E114" s="93">
        <v>298</v>
      </c>
      <c r="F114" s="93">
        <v>301</v>
      </c>
      <c r="G114" s="93">
        <v>310</v>
      </c>
      <c r="H114" s="79">
        <v>3829.24</v>
      </c>
      <c r="I114" s="79">
        <f>H114</f>
        <v>3829.24</v>
      </c>
      <c r="J114" s="79" t="s">
        <v>104</v>
      </c>
      <c r="K114" s="79" t="s">
        <v>104</v>
      </c>
      <c r="L114" s="81">
        <f>SUM(M114:O114)</f>
        <v>1141113.52</v>
      </c>
      <c r="M114" s="81">
        <f>I114*E114</f>
        <v>1141113.52</v>
      </c>
      <c r="N114" s="82" t="s">
        <v>104</v>
      </c>
      <c r="O114" s="74" t="s">
        <v>104</v>
      </c>
      <c r="P114" s="75">
        <f t="shared" si="43"/>
        <v>1152601.24</v>
      </c>
      <c r="Q114" s="75">
        <f t="shared" si="44"/>
        <v>1187064.3999999999</v>
      </c>
    </row>
    <row r="115" spans="1:17" ht="15">
      <c r="A115" s="106"/>
      <c r="B115" s="29"/>
      <c r="C115" s="21" t="s">
        <v>106</v>
      </c>
      <c r="D115" s="29"/>
      <c r="E115" s="93">
        <f>SUM(E113:E114)</f>
        <v>516</v>
      </c>
      <c r="F115" s="93">
        <f t="shared" ref="F115:G115" si="58">SUM(F113:F114)</f>
        <v>521</v>
      </c>
      <c r="G115" s="93">
        <f t="shared" si="58"/>
        <v>537</v>
      </c>
      <c r="H115" s="74" t="s">
        <v>104</v>
      </c>
      <c r="I115" s="74" t="s">
        <v>104</v>
      </c>
      <c r="J115" s="74" t="s">
        <v>104</v>
      </c>
      <c r="K115" s="74">
        <f t="shared" ref="K115:O115" si="59">SUM(K113:K114)</f>
        <v>0</v>
      </c>
      <c r="L115" s="80">
        <f t="shared" si="59"/>
        <v>1745139.2000000002</v>
      </c>
      <c r="M115" s="80">
        <f t="shared" si="59"/>
        <v>1745139.2000000002</v>
      </c>
      <c r="N115" s="80">
        <f t="shared" si="59"/>
        <v>0</v>
      </c>
      <c r="O115" s="80">
        <f t="shared" si="59"/>
        <v>0</v>
      </c>
      <c r="P115" s="75">
        <f>SUM(P113:P114)</f>
        <v>1762168.44</v>
      </c>
      <c r="Q115" s="75">
        <f>SUM(Q113:Q114)</f>
        <v>1816026.92</v>
      </c>
    </row>
    <row r="116" spans="1:17" ht="14.25">
      <c r="A116" s="106"/>
      <c r="B116" s="30" t="s">
        <v>112</v>
      </c>
      <c r="C116" s="30"/>
      <c r="D116" s="29"/>
      <c r="E116" s="93"/>
      <c r="F116" s="93"/>
      <c r="G116" s="93"/>
      <c r="H116" s="74"/>
      <c r="I116" s="74"/>
      <c r="J116" s="74"/>
      <c r="K116" s="74"/>
      <c r="L116" s="74">
        <f>SUM(M116:O116)</f>
        <v>26713644.52</v>
      </c>
      <c r="M116" s="74">
        <f t="shared" ref="M116:Q116" si="60">M104+M108+M112+M115</f>
        <v>17121042.919999998</v>
      </c>
      <c r="N116" s="74">
        <f t="shared" si="60"/>
        <v>1870843.8499999999</v>
      </c>
      <c r="O116" s="74">
        <f t="shared" si="60"/>
        <v>7721757.75</v>
      </c>
      <c r="P116" s="74">
        <f t="shared" si="60"/>
        <v>26905999.16</v>
      </c>
      <c r="Q116" s="74">
        <f t="shared" si="60"/>
        <v>27712015.640000001</v>
      </c>
    </row>
    <row r="117" spans="1:17" ht="90">
      <c r="A117" s="106" t="s">
        <v>114</v>
      </c>
      <c r="B117" s="104" t="s">
        <v>99</v>
      </c>
      <c r="C117" s="9" t="s">
        <v>100</v>
      </c>
      <c r="D117" s="10" t="s">
        <v>101</v>
      </c>
      <c r="E117" s="90">
        <v>157</v>
      </c>
      <c r="F117" s="90">
        <v>180</v>
      </c>
      <c r="G117" s="90">
        <v>210</v>
      </c>
      <c r="H117" s="72">
        <f>SUM(I117:K117)</f>
        <v>43059.57</v>
      </c>
      <c r="I117" s="72">
        <f>22328.93+952.08</f>
        <v>23281.010000000002</v>
      </c>
      <c r="J117" s="72">
        <v>3857.41</v>
      </c>
      <c r="K117" s="72">
        <v>15921.15</v>
      </c>
      <c r="L117" s="73">
        <f>SUM(M117:O117)</f>
        <v>6760352.4900000002</v>
      </c>
      <c r="M117" s="73">
        <f>E117*I117</f>
        <v>3655118.5700000003</v>
      </c>
      <c r="N117" s="73">
        <f>E117*J117</f>
        <v>605613.37</v>
      </c>
      <c r="O117" s="75">
        <f>E117*K117</f>
        <v>2499620.5499999998</v>
      </c>
      <c r="P117" s="75">
        <f t="shared" si="43"/>
        <v>7750722.5999999996</v>
      </c>
      <c r="Q117" s="75">
        <f t="shared" si="44"/>
        <v>9042509.6999999993</v>
      </c>
    </row>
    <row r="118" spans="1:17" ht="120">
      <c r="A118" s="106"/>
      <c r="B118" s="104"/>
      <c r="C118" s="15" t="s">
        <v>102</v>
      </c>
      <c r="D118" s="16" t="s">
        <v>101</v>
      </c>
      <c r="E118" s="91">
        <v>2</v>
      </c>
      <c r="F118" s="91">
        <v>1</v>
      </c>
      <c r="G118" s="91">
        <v>1</v>
      </c>
      <c r="H118" s="79">
        <v>22724.03</v>
      </c>
      <c r="I118" s="79">
        <v>22724.03</v>
      </c>
      <c r="J118" s="79" t="s">
        <v>103</v>
      </c>
      <c r="K118" s="79" t="s">
        <v>103</v>
      </c>
      <c r="L118" s="73">
        <f>SUM(M118:O118)</f>
        <v>45448.06</v>
      </c>
      <c r="M118" s="73">
        <f>E118*I118</f>
        <v>45448.06</v>
      </c>
      <c r="N118" s="73" t="s">
        <v>104</v>
      </c>
      <c r="O118" s="78" t="s">
        <v>104</v>
      </c>
      <c r="P118" s="75">
        <f t="shared" si="43"/>
        <v>22724.03</v>
      </c>
      <c r="Q118" s="75">
        <f t="shared" si="44"/>
        <v>22724.03</v>
      </c>
    </row>
    <row r="119" spans="1:17" ht="120">
      <c r="A119" s="106"/>
      <c r="B119" s="104"/>
      <c r="C119" s="9" t="s">
        <v>105</v>
      </c>
      <c r="D119" s="16" t="s">
        <v>101</v>
      </c>
      <c r="E119" s="90"/>
      <c r="F119" s="90">
        <v>1</v>
      </c>
      <c r="G119" s="90">
        <v>1</v>
      </c>
      <c r="H119" s="79">
        <f>SUM(I119:K119)</f>
        <v>137159.02000000002</v>
      </c>
      <c r="I119" s="79">
        <f>116428.38+952.08</f>
        <v>117380.46</v>
      </c>
      <c r="J119" s="79">
        <v>3857.41</v>
      </c>
      <c r="K119" s="79">
        <v>15921.15</v>
      </c>
      <c r="L119" s="73">
        <f>SUM(M119:O119)</f>
        <v>0</v>
      </c>
      <c r="M119" s="73">
        <f>E119*I119</f>
        <v>0</v>
      </c>
      <c r="N119" s="73">
        <f>E119*J119</f>
        <v>0</v>
      </c>
      <c r="O119" s="75">
        <f>E119*K119</f>
        <v>0</v>
      </c>
      <c r="P119" s="75">
        <f t="shared" si="43"/>
        <v>137159.02000000002</v>
      </c>
      <c r="Q119" s="75">
        <f t="shared" si="44"/>
        <v>137159.02000000002</v>
      </c>
    </row>
    <row r="120" spans="1:17" ht="15">
      <c r="A120" s="106"/>
      <c r="B120" s="104"/>
      <c r="C120" s="21" t="s">
        <v>106</v>
      </c>
      <c r="D120" s="22"/>
      <c r="E120" s="90">
        <f>E117+E119</f>
        <v>157</v>
      </c>
      <c r="F120" s="90">
        <f t="shared" ref="F120:G120" si="61">F117+F119</f>
        <v>181</v>
      </c>
      <c r="G120" s="90">
        <f t="shared" si="61"/>
        <v>211</v>
      </c>
      <c r="H120" s="73" t="s">
        <v>104</v>
      </c>
      <c r="I120" s="73" t="s">
        <v>104</v>
      </c>
      <c r="J120" s="73" t="s">
        <v>104</v>
      </c>
      <c r="K120" s="73" t="s">
        <v>104</v>
      </c>
      <c r="L120" s="73">
        <f t="shared" ref="L120:Q120" si="62">SUM(L117:L119)</f>
        <v>6805800.5499999998</v>
      </c>
      <c r="M120" s="73">
        <f t="shared" si="62"/>
        <v>3700566.6300000004</v>
      </c>
      <c r="N120" s="73">
        <f t="shared" si="62"/>
        <v>605613.37</v>
      </c>
      <c r="O120" s="73">
        <f t="shared" si="62"/>
        <v>2499620.5499999998</v>
      </c>
      <c r="P120" s="73">
        <f t="shared" si="62"/>
        <v>7910605.6500000004</v>
      </c>
      <c r="Q120" s="73">
        <f t="shared" si="62"/>
        <v>9202392.7499999981</v>
      </c>
    </row>
    <row r="121" spans="1:17" ht="90">
      <c r="A121" s="106"/>
      <c r="B121" s="104" t="s">
        <v>107</v>
      </c>
      <c r="C121" s="9" t="s">
        <v>100</v>
      </c>
      <c r="D121" s="10" t="s">
        <v>101</v>
      </c>
      <c r="E121" s="90">
        <v>293</v>
      </c>
      <c r="F121" s="90">
        <v>265</v>
      </c>
      <c r="G121" s="90">
        <v>236</v>
      </c>
      <c r="H121" s="72">
        <f>SUM(I121:K121)</f>
        <v>54095.340000000004</v>
      </c>
      <c r="I121" s="72">
        <f>33147.58+1169.2</f>
        <v>34316.78</v>
      </c>
      <c r="J121" s="72">
        <v>3857.41</v>
      </c>
      <c r="K121" s="79">
        <v>15921.15</v>
      </c>
      <c r="L121" s="73">
        <f>SUM(M121:O121)</f>
        <v>15849934.619999997</v>
      </c>
      <c r="M121" s="73">
        <f>E121*I121</f>
        <v>10054816.539999999</v>
      </c>
      <c r="N121" s="73">
        <f>E121*J121</f>
        <v>1130221.1299999999</v>
      </c>
      <c r="O121" s="73">
        <f>E121*K121</f>
        <v>4664896.95</v>
      </c>
      <c r="P121" s="75">
        <f t="shared" si="43"/>
        <v>14335265.100000001</v>
      </c>
      <c r="Q121" s="75">
        <f t="shared" si="44"/>
        <v>12766500.24</v>
      </c>
    </row>
    <row r="122" spans="1:17" ht="120">
      <c r="A122" s="106"/>
      <c r="B122" s="104"/>
      <c r="C122" s="15" t="s">
        <v>102</v>
      </c>
      <c r="D122" s="16" t="s">
        <v>101</v>
      </c>
      <c r="E122" s="92">
        <v>6</v>
      </c>
      <c r="F122" s="92">
        <v>5</v>
      </c>
      <c r="G122" s="92">
        <v>5</v>
      </c>
      <c r="H122" s="79">
        <v>22724.03</v>
      </c>
      <c r="I122" s="79">
        <v>22724.03</v>
      </c>
      <c r="J122" s="79" t="s">
        <v>103</v>
      </c>
      <c r="K122" s="79" t="s">
        <v>103</v>
      </c>
      <c r="L122" s="73">
        <f>SUM(M122:O122)</f>
        <v>136344.18</v>
      </c>
      <c r="M122" s="73">
        <f>E122*I122</f>
        <v>136344.18</v>
      </c>
      <c r="N122" s="73" t="s">
        <v>104</v>
      </c>
      <c r="O122" s="78" t="s">
        <v>104</v>
      </c>
      <c r="P122" s="75">
        <f t="shared" si="43"/>
        <v>113620.15</v>
      </c>
      <c r="Q122" s="75">
        <f t="shared" si="44"/>
        <v>113620.15</v>
      </c>
    </row>
    <row r="123" spans="1:17" ht="120">
      <c r="A123" s="106"/>
      <c r="B123" s="104"/>
      <c r="C123" s="9" t="s">
        <v>105</v>
      </c>
      <c r="D123" s="16" t="s">
        <v>101</v>
      </c>
      <c r="E123" s="92">
        <v>3</v>
      </c>
      <c r="F123" s="92">
        <v>3</v>
      </c>
      <c r="G123" s="92">
        <v>3</v>
      </c>
      <c r="H123" s="79">
        <f>SUM(I123:K123)</f>
        <v>166124.72</v>
      </c>
      <c r="I123" s="79">
        <f>145176.96+1169.2</f>
        <v>146346.16</v>
      </c>
      <c r="J123" s="79">
        <v>3857.41</v>
      </c>
      <c r="K123" s="79">
        <v>15921.15</v>
      </c>
      <c r="L123" s="81">
        <f>SUM(M123:O123)</f>
        <v>498374.16</v>
      </c>
      <c r="M123" s="81">
        <f>E123*I123</f>
        <v>439038.48</v>
      </c>
      <c r="N123" s="81">
        <f>E123*J123</f>
        <v>11572.23</v>
      </c>
      <c r="O123" s="81">
        <f>E123*K123</f>
        <v>47763.45</v>
      </c>
      <c r="P123" s="75">
        <f t="shared" si="43"/>
        <v>498374.16000000003</v>
      </c>
      <c r="Q123" s="75">
        <f t="shared" si="44"/>
        <v>498374.16000000003</v>
      </c>
    </row>
    <row r="124" spans="1:17" ht="15">
      <c r="A124" s="106"/>
      <c r="B124" s="64"/>
      <c r="C124" s="21" t="s">
        <v>106</v>
      </c>
      <c r="D124" s="16"/>
      <c r="E124" s="92">
        <f>E121+E123</f>
        <v>296</v>
      </c>
      <c r="F124" s="92">
        <f t="shared" ref="F124:G124" si="63">F121+F123</f>
        <v>268</v>
      </c>
      <c r="G124" s="92">
        <f t="shared" si="63"/>
        <v>239</v>
      </c>
      <c r="H124" s="80" t="s">
        <v>104</v>
      </c>
      <c r="I124" s="80" t="s">
        <v>104</v>
      </c>
      <c r="J124" s="80" t="s">
        <v>104</v>
      </c>
      <c r="K124" s="80" t="s">
        <v>104</v>
      </c>
      <c r="L124" s="80">
        <f t="shared" ref="L124:Q124" si="64">SUM(L121:L123)</f>
        <v>16484652.959999997</v>
      </c>
      <c r="M124" s="80">
        <f t="shared" si="64"/>
        <v>10630199.199999999</v>
      </c>
      <c r="N124" s="80">
        <f t="shared" si="64"/>
        <v>1141793.3599999999</v>
      </c>
      <c r="O124" s="80">
        <f t="shared" si="64"/>
        <v>4712660.4000000004</v>
      </c>
      <c r="P124" s="80">
        <f t="shared" si="64"/>
        <v>14947259.410000002</v>
      </c>
      <c r="Q124" s="80">
        <f t="shared" si="64"/>
        <v>13378494.550000001</v>
      </c>
    </row>
    <row r="125" spans="1:17" ht="90">
      <c r="A125" s="106"/>
      <c r="B125" s="104" t="s">
        <v>108</v>
      </c>
      <c r="C125" s="9" t="s">
        <v>100</v>
      </c>
      <c r="D125" s="10" t="s">
        <v>101</v>
      </c>
      <c r="E125" s="92">
        <v>49</v>
      </c>
      <c r="F125" s="92">
        <v>50</v>
      </c>
      <c r="G125" s="92">
        <v>51</v>
      </c>
      <c r="H125" s="72">
        <f>SUM(I125:K125)</f>
        <v>60807.1</v>
      </c>
      <c r="I125" s="72">
        <f>39660.87+1367.67</f>
        <v>41028.54</v>
      </c>
      <c r="J125" s="72">
        <v>3857.41</v>
      </c>
      <c r="K125" s="79">
        <v>15921.15</v>
      </c>
      <c r="L125" s="81">
        <f>SUM(M125:O125)</f>
        <v>2979547.9</v>
      </c>
      <c r="M125" s="81">
        <f>E125*I125</f>
        <v>2010398.46</v>
      </c>
      <c r="N125" s="81">
        <f>E125*J125</f>
        <v>189013.09</v>
      </c>
      <c r="O125" s="81">
        <f>E125*K125</f>
        <v>780136.35</v>
      </c>
      <c r="P125" s="75">
        <f t="shared" si="43"/>
        <v>3040355</v>
      </c>
      <c r="Q125" s="75">
        <f t="shared" si="44"/>
        <v>3101162.1</v>
      </c>
    </row>
    <row r="126" spans="1:17" ht="120">
      <c r="A126" s="106"/>
      <c r="B126" s="104"/>
      <c r="C126" s="15" t="s">
        <v>102</v>
      </c>
      <c r="D126" s="16" t="s">
        <v>101</v>
      </c>
      <c r="E126" s="92">
        <v>1</v>
      </c>
      <c r="F126" s="92">
        <v>1</v>
      </c>
      <c r="G126" s="92"/>
      <c r="H126" s="79">
        <v>22724.03</v>
      </c>
      <c r="I126" s="79">
        <v>22724.03</v>
      </c>
      <c r="J126" s="79" t="s">
        <v>103</v>
      </c>
      <c r="K126" s="79" t="s">
        <v>103</v>
      </c>
      <c r="L126" s="73">
        <f>SUM(M126:O126)</f>
        <v>22724.03</v>
      </c>
      <c r="M126" s="73">
        <f>E126*I126</f>
        <v>22724.03</v>
      </c>
      <c r="N126" s="73" t="s">
        <v>104</v>
      </c>
      <c r="O126" s="78" t="s">
        <v>104</v>
      </c>
      <c r="P126" s="75">
        <f t="shared" si="43"/>
        <v>22724.03</v>
      </c>
      <c r="Q126" s="75">
        <f t="shared" si="44"/>
        <v>0</v>
      </c>
    </row>
    <row r="127" spans="1:17" ht="120">
      <c r="A127" s="106"/>
      <c r="B127" s="104"/>
      <c r="C127" s="9" t="s">
        <v>105</v>
      </c>
      <c r="D127" s="16" t="s">
        <v>101</v>
      </c>
      <c r="E127" s="92"/>
      <c r="F127" s="92">
        <v>1</v>
      </c>
      <c r="G127" s="92">
        <v>1</v>
      </c>
      <c r="H127" s="79">
        <f>SUM(I127:K127)</f>
        <v>195071.76</v>
      </c>
      <c r="I127" s="79">
        <f>173925.53+1367.67</f>
        <v>175293.2</v>
      </c>
      <c r="J127" s="79">
        <v>3857.41</v>
      </c>
      <c r="K127" s="79">
        <v>15921.15</v>
      </c>
      <c r="L127" s="81"/>
      <c r="M127" s="81"/>
      <c r="N127" s="81"/>
      <c r="O127" s="81"/>
      <c r="P127" s="75">
        <f t="shared" si="43"/>
        <v>195071.76</v>
      </c>
      <c r="Q127" s="75">
        <f t="shared" si="44"/>
        <v>195071.76</v>
      </c>
    </row>
    <row r="128" spans="1:17" ht="15">
      <c r="A128" s="106"/>
      <c r="B128" s="64"/>
      <c r="C128" s="21" t="s">
        <v>106</v>
      </c>
      <c r="D128" s="16"/>
      <c r="E128" s="92">
        <f>E125+E127</f>
        <v>49</v>
      </c>
      <c r="F128" s="92">
        <f t="shared" ref="F128:G128" si="65">F125+F127</f>
        <v>51</v>
      </c>
      <c r="G128" s="92">
        <f t="shared" si="65"/>
        <v>52</v>
      </c>
      <c r="H128" s="80" t="s">
        <v>104</v>
      </c>
      <c r="I128" s="80" t="s">
        <v>104</v>
      </c>
      <c r="J128" s="80" t="s">
        <v>104</v>
      </c>
      <c r="K128" s="80" t="s">
        <v>104</v>
      </c>
      <c r="L128" s="80">
        <f t="shared" ref="L128:Q128" si="66">SUM(L125:L127)</f>
        <v>3002271.9299999997</v>
      </c>
      <c r="M128" s="80">
        <f t="shared" si="66"/>
        <v>2033122.49</v>
      </c>
      <c r="N128" s="80">
        <f t="shared" si="66"/>
        <v>189013.09</v>
      </c>
      <c r="O128" s="80">
        <f t="shared" si="66"/>
        <v>780136.35</v>
      </c>
      <c r="P128" s="80">
        <f t="shared" si="66"/>
        <v>3258150.79</v>
      </c>
      <c r="Q128" s="80">
        <f t="shared" si="66"/>
        <v>3296233.8600000003</v>
      </c>
    </row>
    <row r="129" spans="1:17" ht="165">
      <c r="A129" s="106"/>
      <c r="B129" s="105" t="s">
        <v>109</v>
      </c>
      <c r="C129" s="9" t="s">
        <v>110</v>
      </c>
      <c r="D129" s="16" t="s">
        <v>101</v>
      </c>
      <c r="E129" s="92">
        <v>370</v>
      </c>
      <c r="F129" s="92">
        <v>370</v>
      </c>
      <c r="G129" s="92">
        <v>370</v>
      </c>
      <c r="H129" s="79">
        <f>I129</f>
        <v>2770.76</v>
      </c>
      <c r="I129" s="79">
        <v>2770.76</v>
      </c>
      <c r="J129" s="79" t="s">
        <v>104</v>
      </c>
      <c r="K129" s="79" t="s">
        <v>104</v>
      </c>
      <c r="L129" s="81">
        <f>SUM(M129:O129)</f>
        <v>1025181.2000000001</v>
      </c>
      <c r="M129" s="81">
        <f>I129*E129</f>
        <v>1025181.2000000001</v>
      </c>
      <c r="N129" s="81" t="s">
        <v>104</v>
      </c>
      <c r="O129" s="81" t="s">
        <v>104</v>
      </c>
      <c r="P129" s="75">
        <f t="shared" si="43"/>
        <v>1025181.2000000001</v>
      </c>
      <c r="Q129" s="75">
        <f t="shared" si="44"/>
        <v>1025181.2000000001</v>
      </c>
    </row>
    <row r="130" spans="1:17" ht="180">
      <c r="A130" s="106"/>
      <c r="B130" s="105"/>
      <c r="C130" s="9" t="s">
        <v>111</v>
      </c>
      <c r="D130" s="16" t="s">
        <v>101</v>
      </c>
      <c r="E130" s="93">
        <v>369</v>
      </c>
      <c r="F130" s="93">
        <v>369</v>
      </c>
      <c r="G130" s="93">
        <v>369</v>
      </c>
      <c r="H130" s="79">
        <v>3829.24</v>
      </c>
      <c r="I130" s="79">
        <f>H130</f>
        <v>3829.24</v>
      </c>
      <c r="J130" s="79" t="s">
        <v>104</v>
      </c>
      <c r="K130" s="79" t="s">
        <v>104</v>
      </c>
      <c r="L130" s="81">
        <f>SUM(M130:O130)</f>
        <v>1412989.5599999998</v>
      </c>
      <c r="M130" s="81">
        <f>I130*E130</f>
        <v>1412989.5599999998</v>
      </c>
      <c r="N130" s="82" t="s">
        <v>104</v>
      </c>
      <c r="O130" s="74" t="s">
        <v>104</v>
      </c>
      <c r="P130" s="75">
        <f t="shared" si="43"/>
        <v>1412989.5599999998</v>
      </c>
      <c r="Q130" s="75">
        <f t="shared" si="44"/>
        <v>1412989.5599999998</v>
      </c>
    </row>
    <row r="131" spans="1:17" ht="15">
      <c r="A131" s="106"/>
      <c r="B131" s="29"/>
      <c r="C131" s="21" t="s">
        <v>106</v>
      </c>
      <c r="D131" s="29"/>
      <c r="E131" s="93">
        <f>SUM(E129:E130)</f>
        <v>739</v>
      </c>
      <c r="F131" s="93">
        <f t="shared" ref="F131:G131" si="67">SUM(F129:F130)</f>
        <v>739</v>
      </c>
      <c r="G131" s="92">
        <f t="shared" si="67"/>
        <v>739</v>
      </c>
      <c r="H131" s="80" t="s">
        <v>104</v>
      </c>
      <c r="I131" s="80" t="s">
        <v>104</v>
      </c>
      <c r="J131" s="80" t="s">
        <v>104</v>
      </c>
      <c r="K131" s="80">
        <f t="shared" ref="K131:O131" si="68">SUM(K129:K130)</f>
        <v>0</v>
      </c>
      <c r="L131" s="80">
        <f t="shared" si="68"/>
        <v>2438170.7599999998</v>
      </c>
      <c r="M131" s="80">
        <f t="shared" si="68"/>
        <v>2438170.7599999998</v>
      </c>
      <c r="N131" s="80">
        <f t="shared" si="68"/>
        <v>0</v>
      </c>
      <c r="O131" s="80">
        <f t="shared" si="68"/>
        <v>0</v>
      </c>
      <c r="P131" s="75">
        <f>SUM(P129:P130)</f>
        <v>2438170.7599999998</v>
      </c>
      <c r="Q131" s="75">
        <f>SUM(Q129:Q130)</f>
        <v>2438170.7599999998</v>
      </c>
    </row>
    <row r="132" spans="1:17" ht="14.25">
      <c r="A132" s="106"/>
      <c r="B132" s="30" t="s">
        <v>112</v>
      </c>
      <c r="C132" s="30"/>
      <c r="D132" s="29"/>
      <c r="E132" s="93"/>
      <c r="F132" s="93"/>
      <c r="G132" s="93"/>
      <c r="H132" s="74"/>
      <c r="I132" s="74"/>
      <c r="J132" s="74"/>
      <c r="K132" s="74"/>
      <c r="L132" s="74">
        <f>SUM(M132:O132)</f>
        <v>28730896.199999999</v>
      </c>
      <c r="M132" s="74">
        <f t="shared" ref="M132:Q132" si="69">M120+M124+M128+M131</f>
        <v>18802059.079999998</v>
      </c>
      <c r="N132" s="74">
        <f t="shared" si="69"/>
        <v>1936419.82</v>
      </c>
      <c r="O132" s="74">
        <f t="shared" si="69"/>
        <v>7992417.2999999998</v>
      </c>
      <c r="P132" s="74">
        <f t="shared" si="69"/>
        <v>28554186.609999999</v>
      </c>
      <c r="Q132" s="74">
        <f t="shared" si="69"/>
        <v>28315291.919999994</v>
      </c>
    </row>
    <row r="133" spans="1:17" ht="90">
      <c r="A133" s="106" t="s">
        <v>115</v>
      </c>
      <c r="B133" s="104" t="s">
        <v>99</v>
      </c>
      <c r="C133" s="9" t="s">
        <v>100</v>
      </c>
      <c r="D133" s="10" t="s">
        <v>101</v>
      </c>
      <c r="E133" s="90">
        <v>195</v>
      </c>
      <c r="F133" s="90">
        <v>199</v>
      </c>
      <c r="G133" s="90">
        <v>200</v>
      </c>
      <c r="H133" s="72">
        <f>SUM(I133:K133)</f>
        <v>43059.57</v>
      </c>
      <c r="I133" s="72">
        <f>22328.93+952.08</f>
        <v>23281.010000000002</v>
      </c>
      <c r="J133" s="72">
        <v>3857.41</v>
      </c>
      <c r="K133" s="72">
        <v>15921.15</v>
      </c>
      <c r="L133" s="73">
        <f>SUM(M133:O133)</f>
        <v>8396616.1500000004</v>
      </c>
      <c r="M133" s="73">
        <f>E133*I133</f>
        <v>4539796.95</v>
      </c>
      <c r="N133" s="73">
        <f>E133*J133</f>
        <v>752194.95</v>
      </c>
      <c r="O133" s="75">
        <f>E133*K133</f>
        <v>3104624.25</v>
      </c>
      <c r="P133" s="75">
        <f t="shared" si="43"/>
        <v>8568854.4299999997</v>
      </c>
      <c r="Q133" s="75">
        <f t="shared" si="44"/>
        <v>8611914</v>
      </c>
    </row>
    <row r="134" spans="1:17" ht="120">
      <c r="A134" s="106"/>
      <c r="B134" s="104"/>
      <c r="C134" s="15" t="s">
        <v>102</v>
      </c>
      <c r="D134" s="16" t="s">
        <v>101</v>
      </c>
      <c r="E134" s="91">
        <v>4</v>
      </c>
      <c r="F134" s="91">
        <v>12</v>
      </c>
      <c r="G134" s="91">
        <v>18</v>
      </c>
      <c r="H134" s="79">
        <v>22724.03</v>
      </c>
      <c r="I134" s="79">
        <v>22724.03</v>
      </c>
      <c r="J134" s="79" t="s">
        <v>103</v>
      </c>
      <c r="K134" s="79" t="s">
        <v>103</v>
      </c>
      <c r="L134" s="73">
        <f>SUM(M134:O134)</f>
        <v>90896.12</v>
      </c>
      <c r="M134" s="73">
        <f>E134*I134</f>
        <v>90896.12</v>
      </c>
      <c r="N134" s="73" t="s">
        <v>104</v>
      </c>
      <c r="O134" s="78" t="s">
        <v>104</v>
      </c>
      <c r="P134" s="75">
        <f t="shared" si="43"/>
        <v>272688.36</v>
      </c>
      <c r="Q134" s="75">
        <f t="shared" si="44"/>
        <v>409032.54</v>
      </c>
    </row>
    <row r="135" spans="1:17" ht="120">
      <c r="A135" s="106"/>
      <c r="B135" s="104"/>
      <c r="C135" s="9" t="s">
        <v>105</v>
      </c>
      <c r="D135" s="16" t="s">
        <v>101</v>
      </c>
      <c r="E135" s="90">
        <v>3</v>
      </c>
      <c r="F135" s="90">
        <v>5</v>
      </c>
      <c r="G135" s="90">
        <v>5</v>
      </c>
      <c r="H135" s="79">
        <f>SUM(I135:K135)</f>
        <v>137159.02000000002</v>
      </c>
      <c r="I135" s="79">
        <f>116428.38+952.08</f>
        <v>117380.46</v>
      </c>
      <c r="J135" s="79">
        <v>3857.41</v>
      </c>
      <c r="K135" s="79">
        <v>15921.15</v>
      </c>
      <c r="L135" s="73">
        <f>SUM(M135:O135)</f>
        <v>411477.06</v>
      </c>
      <c r="M135" s="73">
        <f>E135*I135</f>
        <v>352141.38</v>
      </c>
      <c r="N135" s="73">
        <f>E135*J135</f>
        <v>11572.23</v>
      </c>
      <c r="O135" s="75">
        <f>E135*K135</f>
        <v>47763.45</v>
      </c>
      <c r="P135" s="75">
        <f t="shared" si="43"/>
        <v>685795.10000000009</v>
      </c>
      <c r="Q135" s="75">
        <f t="shared" si="44"/>
        <v>685795.10000000009</v>
      </c>
    </row>
    <row r="136" spans="1:17" ht="15">
      <c r="A136" s="106"/>
      <c r="B136" s="104"/>
      <c r="C136" s="21" t="s">
        <v>106</v>
      </c>
      <c r="D136" s="22"/>
      <c r="E136" s="90">
        <f>E133+E135</f>
        <v>198</v>
      </c>
      <c r="F136" s="90">
        <f t="shared" ref="F136:G136" si="70">F133+F135</f>
        <v>204</v>
      </c>
      <c r="G136" s="90">
        <f t="shared" si="70"/>
        <v>205</v>
      </c>
      <c r="H136" s="73" t="s">
        <v>104</v>
      </c>
      <c r="I136" s="73" t="s">
        <v>104</v>
      </c>
      <c r="J136" s="73" t="s">
        <v>104</v>
      </c>
      <c r="K136" s="73" t="s">
        <v>104</v>
      </c>
      <c r="L136" s="73">
        <f t="shared" ref="L136:Q136" si="71">SUM(L133:L135)</f>
        <v>8898989.3300000001</v>
      </c>
      <c r="M136" s="73">
        <f t="shared" si="71"/>
        <v>4982834.45</v>
      </c>
      <c r="N136" s="73">
        <f t="shared" si="71"/>
        <v>763767.17999999993</v>
      </c>
      <c r="O136" s="73">
        <f t="shared" si="71"/>
        <v>3152387.7</v>
      </c>
      <c r="P136" s="73">
        <f t="shared" si="71"/>
        <v>9527337.8899999987</v>
      </c>
      <c r="Q136" s="73">
        <f t="shared" si="71"/>
        <v>9706741.6399999987</v>
      </c>
    </row>
    <row r="137" spans="1:17" ht="90">
      <c r="A137" s="106"/>
      <c r="B137" s="104" t="s">
        <v>107</v>
      </c>
      <c r="C137" s="9" t="s">
        <v>100</v>
      </c>
      <c r="D137" s="10" t="s">
        <v>101</v>
      </c>
      <c r="E137" s="90">
        <v>171</v>
      </c>
      <c r="F137" s="90">
        <v>180</v>
      </c>
      <c r="G137" s="90">
        <v>185</v>
      </c>
      <c r="H137" s="72">
        <f>SUM(I137:K137)</f>
        <v>54095.340000000004</v>
      </c>
      <c r="I137" s="72">
        <f>33147.58+1169.2</f>
        <v>34316.78</v>
      </c>
      <c r="J137" s="72">
        <v>3857.41</v>
      </c>
      <c r="K137" s="79">
        <v>15921.15</v>
      </c>
      <c r="L137" s="73">
        <f>SUM(M137:O137)</f>
        <v>9250303.1400000006</v>
      </c>
      <c r="M137" s="73">
        <f>E137*I137</f>
        <v>5868169.3799999999</v>
      </c>
      <c r="N137" s="73">
        <f>E137*J137</f>
        <v>659617.11</v>
      </c>
      <c r="O137" s="73">
        <f>E137*K137</f>
        <v>2722516.65</v>
      </c>
      <c r="P137" s="75">
        <f t="shared" si="43"/>
        <v>9737161.2000000011</v>
      </c>
      <c r="Q137" s="75">
        <f t="shared" si="44"/>
        <v>10007637.9</v>
      </c>
    </row>
    <row r="138" spans="1:17" ht="120">
      <c r="A138" s="106"/>
      <c r="B138" s="104"/>
      <c r="C138" s="15" t="s">
        <v>102</v>
      </c>
      <c r="D138" s="16" t="s">
        <v>101</v>
      </c>
      <c r="E138" s="92"/>
      <c r="F138" s="92"/>
      <c r="G138" s="92"/>
      <c r="H138" s="79">
        <v>22724.03</v>
      </c>
      <c r="I138" s="79">
        <v>22724.03</v>
      </c>
      <c r="J138" s="79" t="s">
        <v>103</v>
      </c>
      <c r="K138" s="79" t="s">
        <v>103</v>
      </c>
      <c r="L138" s="73">
        <f>SUM(M138:O138)</f>
        <v>0</v>
      </c>
      <c r="M138" s="73">
        <f>E138*I138</f>
        <v>0</v>
      </c>
      <c r="N138" s="73" t="s">
        <v>104</v>
      </c>
      <c r="O138" s="78" t="s">
        <v>104</v>
      </c>
      <c r="P138" s="75">
        <f t="shared" si="43"/>
        <v>0</v>
      </c>
      <c r="Q138" s="75">
        <f t="shared" si="44"/>
        <v>0</v>
      </c>
    </row>
    <row r="139" spans="1:17" ht="120">
      <c r="A139" s="106"/>
      <c r="B139" s="104"/>
      <c r="C139" s="9" t="s">
        <v>105</v>
      </c>
      <c r="D139" s="16" t="s">
        <v>101</v>
      </c>
      <c r="E139" s="92">
        <v>2</v>
      </c>
      <c r="F139" s="92">
        <v>2</v>
      </c>
      <c r="G139" s="92">
        <v>2</v>
      </c>
      <c r="H139" s="79">
        <f>SUM(I139:K139)</f>
        <v>166124.72</v>
      </c>
      <c r="I139" s="79">
        <f>145176.96+1169.2</f>
        <v>146346.16</v>
      </c>
      <c r="J139" s="79">
        <v>3857.41</v>
      </c>
      <c r="K139" s="79">
        <v>15921.15</v>
      </c>
      <c r="L139" s="81">
        <f>SUM(M139:O139)</f>
        <v>332249.44</v>
      </c>
      <c r="M139" s="81">
        <f>E139*I139</f>
        <v>292692.32</v>
      </c>
      <c r="N139" s="81">
        <f>E139*J139</f>
        <v>7714.82</v>
      </c>
      <c r="O139" s="81">
        <f>E139*K139</f>
        <v>31842.3</v>
      </c>
      <c r="P139" s="75">
        <f t="shared" si="43"/>
        <v>332249.44</v>
      </c>
      <c r="Q139" s="75">
        <f t="shared" si="44"/>
        <v>332249.44</v>
      </c>
    </row>
    <row r="140" spans="1:17" ht="15">
      <c r="A140" s="106"/>
      <c r="B140" s="64"/>
      <c r="C140" s="21" t="s">
        <v>106</v>
      </c>
      <c r="D140" s="16"/>
      <c r="E140" s="92">
        <f>E137+E139</f>
        <v>173</v>
      </c>
      <c r="F140" s="92">
        <f t="shared" ref="F140:G140" si="72">F137+F139</f>
        <v>182</v>
      </c>
      <c r="G140" s="92">
        <f t="shared" si="72"/>
        <v>187</v>
      </c>
      <c r="H140" s="80" t="s">
        <v>104</v>
      </c>
      <c r="I140" s="80" t="s">
        <v>104</v>
      </c>
      <c r="J140" s="80" t="s">
        <v>104</v>
      </c>
      <c r="K140" s="80" t="s">
        <v>104</v>
      </c>
      <c r="L140" s="80">
        <f t="shared" ref="L140:Q140" si="73">SUM(L137:L139)</f>
        <v>9582552.5800000001</v>
      </c>
      <c r="M140" s="80">
        <f t="shared" si="73"/>
        <v>6160861.7000000002</v>
      </c>
      <c r="N140" s="80">
        <f t="shared" si="73"/>
        <v>667331.92999999993</v>
      </c>
      <c r="O140" s="80">
        <f t="shared" si="73"/>
        <v>2754358.9499999997</v>
      </c>
      <c r="P140" s="80">
        <f t="shared" si="73"/>
        <v>10069410.640000001</v>
      </c>
      <c r="Q140" s="80">
        <f t="shared" si="73"/>
        <v>10339887.34</v>
      </c>
    </row>
    <row r="141" spans="1:17" ht="90">
      <c r="A141" s="106"/>
      <c r="B141" s="104" t="s">
        <v>108</v>
      </c>
      <c r="C141" s="9" t="s">
        <v>100</v>
      </c>
      <c r="D141" s="10" t="s">
        <v>101</v>
      </c>
      <c r="E141" s="92">
        <v>35</v>
      </c>
      <c r="F141" s="92">
        <v>39</v>
      </c>
      <c r="G141" s="92">
        <v>40</v>
      </c>
      <c r="H141" s="72">
        <f>SUM(I141:K141)</f>
        <v>60807.1</v>
      </c>
      <c r="I141" s="72">
        <f>39660.87+1367.67</f>
        <v>41028.54</v>
      </c>
      <c r="J141" s="72">
        <v>3857.41</v>
      </c>
      <c r="K141" s="79">
        <v>15921.15</v>
      </c>
      <c r="L141" s="81">
        <f>SUM(M141:O141)</f>
        <v>2128248.5</v>
      </c>
      <c r="M141" s="81">
        <f>E141*I141</f>
        <v>1435998.9000000001</v>
      </c>
      <c r="N141" s="81">
        <f>E141*J141</f>
        <v>135009.35</v>
      </c>
      <c r="O141" s="81">
        <f>E141*K141</f>
        <v>557240.25</v>
      </c>
      <c r="P141" s="75">
        <f t="shared" si="43"/>
        <v>2371476.9</v>
      </c>
      <c r="Q141" s="75">
        <f t="shared" si="44"/>
        <v>2432284</v>
      </c>
    </row>
    <row r="142" spans="1:17" ht="120">
      <c r="A142" s="106"/>
      <c r="B142" s="104"/>
      <c r="C142" s="15" t="s">
        <v>102</v>
      </c>
      <c r="D142" s="16" t="s">
        <v>101</v>
      </c>
      <c r="E142" s="92">
        <v>1</v>
      </c>
      <c r="F142" s="92"/>
      <c r="G142" s="92"/>
      <c r="H142" s="79">
        <v>22724.03</v>
      </c>
      <c r="I142" s="79">
        <v>22724.03</v>
      </c>
      <c r="J142" s="79" t="s">
        <v>103</v>
      </c>
      <c r="K142" s="79" t="s">
        <v>103</v>
      </c>
      <c r="L142" s="73">
        <f>SUM(M142:O142)</f>
        <v>22724.03</v>
      </c>
      <c r="M142" s="73">
        <f>E142*I142</f>
        <v>22724.03</v>
      </c>
      <c r="N142" s="73" t="s">
        <v>104</v>
      </c>
      <c r="O142" s="78" t="s">
        <v>104</v>
      </c>
      <c r="P142" s="75">
        <f t="shared" si="43"/>
        <v>0</v>
      </c>
      <c r="Q142" s="75">
        <f t="shared" si="44"/>
        <v>0</v>
      </c>
    </row>
    <row r="143" spans="1:17" ht="120">
      <c r="A143" s="106"/>
      <c r="B143" s="104"/>
      <c r="C143" s="9" t="s">
        <v>105</v>
      </c>
      <c r="D143" s="16" t="s">
        <v>101</v>
      </c>
      <c r="E143" s="92"/>
      <c r="F143" s="92">
        <v>1</v>
      </c>
      <c r="G143" s="92">
        <v>1</v>
      </c>
      <c r="H143" s="79">
        <f>SUM(I143:K143)</f>
        <v>195071.76</v>
      </c>
      <c r="I143" s="79">
        <f>173925.53+1367.67</f>
        <v>175293.2</v>
      </c>
      <c r="J143" s="79">
        <v>3857.41</v>
      </c>
      <c r="K143" s="79">
        <v>15921.15</v>
      </c>
      <c r="L143" s="81"/>
      <c r="M143" s="81"/>
      <c r="N143" s="81"/>
      <c r="O143" s="81"/>
      <c r="P143" s="75">
        <f t="shared" si="43"/>
        <v>195071.76</v>
      </c>
      <c r="Q143" s="75">
        <f t="shared" si="44"/>
        <v>195071.76</v>
      </c>
    </row>
    <row r="144" spans="1:17" ht="15">
      <c r="A144" s="106"/>
      <c r="B144" s="64"/>
      <c r="C144" s="21" t="s">
        <v>106</v>
      </c>
      <c r="D144" s="16"/>
      <c r="E144" s="92">
        <f>E141+E143</f>
        <v>35</v>
      </c>
      <c r="F144" s="92">
        <f t="shared" ref="F144:G144" si="74">F141+F143</f>
        <v>40</v>
      </c>
      <c r="G144" s="92">
        <f t="shared" si="74"/>
        <v>41</v>
      </c>
      <c r="H144" s="80" t="s">
        <v>104</v>
      </c>
      <c r="I144" s="80" t="s">
        <v>104</v>
      </c>
      <c r="J144" s="80" t="s">
        <v>104</v>
      </c>
      <c r="K144" s="80" t="s">
        <v>104</v>
      </c>
      <c r="L144" s="80">
        <f t="shared" ref="L144:Q144" si="75">SUM(L141:L143)</f>
        <v>2150972.5299999998</v>
      </c>
      <c r="M144" s="80">
        <f t="shared" si="75"/>
        <v>1458722.9300000002</v>
      </c>
      <c r="N144" s="80">
        <f t="shared" si="75"/>
        <v>135009.35</v>
      </c>
      <c r="O144" s="80">
        <f t="shared" si="75"/>
        <v>557240.25</v>
      </c>
      <c r="P144" s="80">
        <f t="shared" si="75"/>
        <v>2566548.66</v>
      </c>
      <c r="Q144" s="80">
        <f t="shared" si="75"/>
        <v>2627355.7599999998</v>
      </c>
    </row>
    <row r="145" spans="1:17" ht="165">
      <c r="A145" s="106"/>
      <c r="B145" s="105" t="s">
        <v>109</v>
      </c>
      <c r="C145" s="9" t="s">
        <v>110</v>
      </c>
      <c r="D145" s="16" t="s">
        <v>101</v>
      </c>
      <c r="E145" s="92">
        <v>258</v>
      </c>
      <c r="F145" s="92">
        <v>268</v>
      </c>
      <c r="G145" s="92">
        <v>271</v>
      </c>
      <c r="H145" s="79">
        <f>I145</f>
        <v>2770.76</v>
      </c>
      <c r="I145" s="79">
        <v>2770.76</v>
      </c>
      <c r="J145" s="79" t="s">
        <v>104</v>
      </c>
      <c r="K145" s="79" t="s">
        <v>104</v>
      </c>
      <c r="L145" s="81">
        <f>SUM(M145:O145)</f>
        <v>714856.08000000007</v>
      </c>
      <c r="M145" s="81">
        <f>I145*E145</f>
        <v>714856.08000000007</v>
      </c>
      <c r="N145" s="81" t="s">
        <v>104</v>
      </c>
      <c r="O145" s="81" t="s">
        <v>104</v>
      </c>
      <c r="P145" s="75">
        <f t="shared" si="43"/>
        <v>742563.68</v>
      </c>
      <c r="Q145" s="75">
        <f t="shared" si="44"/>
        <v>750875.96000000008</v>
      </c>
    </row>
    <row r="146" spans="1:17" ht="180">
      <c r="A146" s="106"/>
      <c r="B146" s="105"/>
      <c r="C146" s="9" t="s">
        <v>111</v>
      </c>
      <c r="D146" s="16" t="s">
        <v>101</v>
      </c>
      <c r="E146" s="93">
        <v>206</v>
      </c>
      <c r="F146" s="93">
        <v>214</v>
      </c>
      <c r="G146" s="93">
        <v>216</v>
      </c>
      <c r="H146" s="79">
        <v>3829.24</v>
      </c>
      <c r="I146" s="79">
        <f>H146</f>
        <v>3829.24</v>
      </c>
      <c r="J146" s="79" t="s">
        <v>104</v>
      </c>
      <c r="K146" s="79" t="s">
        <v>104</v>
      </c>
      <c r="L146" s="81">
        <f>SUM(M146:O146)</f>
        <v>788823.44</v>
      </c>
      <c r="M146" s="81">
        <f>I146*E146</f>
        <v>788823.44</v>
      </c>
      <c r="N146" s="82" t="s">
        <v>104</v>
      </c>
      <c r="O146" s="74" t="s">
        <v>104</v>
      </c>
      <c r="P146" s="75">
        <f t="shared" si="43"/>
        <v>819457.36</v>
      </c>
      <c r="Q146" s="75">
        <f t="shared" si="44"/>
        <v>827115.84</v>
      </c>
    </row>
    <row r="147" spans="1:17" ht="15">
      <c r="A147" s="106"/>
      <c r="B147" s="29"/>
      <c r="C147" s="21" t="s">
        <v>106</v>
      </c>
      <c r="D147" s="29"/>
      <c r="E147" s="93">
        <f>SUM(E145:E146)</f>
        <v>464</v>
      </c>
      <c r="F147" s="93">
        <f t="shared" ref="F147:G147" si="76">SUM(F145:F146)</f>
        <v>482</v>
      </c>
      <c r="G147" s="92">
        <f t="shared" si="76"/>
        <v>487</v>
      </c>
      <c r="H147" s="80" t="s">
        <v>104</v>
      </c>
      <c r="I147" s="80" t="s">
        <v>104</v>
      </c>
      <c r="J147" s="80" t="s">
        <v>104</v>
      </c>
      <c r="K147" s="80">
        <f t="shared" ref="K147:O147" si="77">SUM(K145:K146)</f>
        <v>0</v>
      </c>
      <c r="L147" s="80">
        <f t="shared" si="77"/>
        <v>1503679.52</v>
      </c>
      <c r="M147" s="80">
        <f t="shared" si="77"/>
        <v>1503679.52</v>
      </c>
      <c r="N147" s="80">
        <f t="shared" si="77"/>
        <v>0</v>
      </c>
      <c r="O147" s="80">
        <f t="shared" si="77"/>
        <v>0</v>
      </c>
      <c r="P147" s="75">
        <f>SUM(P145:P146)</f>
        <v>1562021.04</v>
      </c>
      <c r="Q147" s="75">
        <f>SUM(Q145:Q146)</f>
        <v>1577991.8</v>
      </c>
    </row>
    <row r="148" spans="1:17" ht="14.25">
      <c r="A148" s="106"/>
      <c r="B148" s="30" t="s">
        <v>112</v>
      </c>
      <c r="C148" s="30"/>
      <c r="D148" s="29"/>
      <c r="E148" s="93"/>
      <c r="F148" s="93"/>
      <c r="G148" s="93"/>
      <c r="H148" s="74"/>
      <c r="I148" s="74"/>
      <c r="J148" s="74"/>
      <c r="K148" s="74"/>
      <c r="L148" s="74">
        <f>SUM(M148:O148)</f>
        <v>22136193.960000001</v>
      </c>
      <c r="M148" s="74">
        <f t="shared" ref="M148:Q148" si="78">M136+M140+M144+M147</f>
        <v>14106098.6</v>
      </c>
      <c r="N148" s="74">
        <f t="shared" si="78"/>
        <v>1566108.46</v>
      </c>
      <c r="O148" s="74">
        <f t="shared" si="78"/>
        <v>6463986.9000000004</v>
      </c>
      <c r="P148" s="74">
        <f t="shared" si="78"/>
        <v>23725318.23</v>
      </c>
      <c r="Q148" s="74">
        <f t="shared" si="78"/>
        <v>24251976.539999995</v>
      </c>
    </row>
    <row r="149" spans="1:17" ht="90">
      <c r="A149" s="106" t="s">
        <v>116</v>
      </c>
      <c r="B149" s="104" t="s">
        <v>99</v>
      </c>
      <c r="C149" s="9" t="s">
        <v>100</v>
      </c>
      <c r="D149" s="10" t="s">
        <v>101</v>
      </c>
      <c r="E149" s="90">
        <v>309</v>
      </c>
      <c r="F149" s="90">
        <v>320</v>
      </c>
      <c r="G149" s="90">
        <v>320</v>
      </c>
      <c r="H149" s="72">
        <f>SUM(I149:K149)</f>
        <v>43059.57</v>
      </c>
      <c r="I149" s="72">
        <f>22328.93+952.08</f>
        <v>23281.010000000002</v>
      </c>
      <c r="J149" s="72">
        <v>3857.41</v>
      </c>
      <c r="K149" s="72">
        <v>15921.15</v>
      </c>
      <c r="L149" s="73">
        <f>SUM(M149:O149)</f>
        <v>13305407.130000001</v>
      </c>
      <c r="M149" s="73">
        <f>E149*I149</f>
        <v>7193832.0900000008</v>
      </c>
      <c r="N149" s="73">
        <f>E149*J149</f>
        <v>1191939.69</v>
      </c>
      <c r="O149" s="75">
        <f>E149*K149</f>
        <v>4919635.3499999996</v>
      </c>
      <c r="P149" s="75">
        <f t="shared" si="43"/>
        <v>13779062.4</v>
      </c>
      <c r="Q149" s="75">
        <f t="shared" si="44"/>
        <v>13779062.4</v>
      </c>
    </row>
    <row r="150" spans="1:17" ht="120">
      <c r="A150" s="106"/>
      <c r="B150" s="104"/>
      <c r="C150" s="15" t="s">
        <v>102</v>
      </c>
      <c r="D150" s="16" t="s">
        <v>101</v>
      </c>
      <c r="E150" s="91">
        <v>3</v>
      </c>
      <c r="F150" s="91">
        <v>3</v>
      </c>
      <c r="G150" s="91">
        <v>3</v>
      </c>
      <c r="H150" s="79">
        <v>22724.03</v>
      </c>
      <c r="I150" s="79">
        <v>22724.03</v>
      </c>
      <c r="J150" s="79" t="s">
        <v>103</v>
      </c>
      <c r="K150" s="79" t="s">
        <v>103</v>
      </c>
      <c r="L150" s="73">
        <f>SUM(M150:O150)</f>
        <v>68172.09</v>
      </c>
      <c r="M150" s="73">
        <f>E150*I150</f>
        <v>68172.09</v>
      </c>
      <c r="N150" s="73" t="s">
        <v>104</v>
      </c>
      <c r="O150" s="78" t="s">
        <v>104</v>
      </c>
      <c r="P150" s="75">
        <f t="shared" ref="P150:P165" si="79">F150*H150</f>
        <v>68172.09</v>
      </c>
      <c r="Q150" s="75">
        <f t="shared" ref="Q150:Q165" si="80">G150*H150</f>
        <v>68172.09</v>
      </c>
    </row>
    <row r="151" spans="1:17" ht="120">
      <c r="A151" s="106"/>
      <c r="B151" s="104"/>
      <c r="C151" s="9" t="s">
        <v>105</v>
      </c>
      <c r="D151" s="16" t="s">
        <v>101</v>
      </c>
      <c r="E151" s="90">
        <v>2</v>
      </c>
      <c r="F151" s="90">
        <v>2</v>
      </c>
      <c r="G151" s="90">
        <v>2</v>
      </c>
      <c r="H151" s="79">
        <f>SUM(I151:K151)</f>
        <v>137159.02000000002</v>
      </c>
      <c r="I151" s="79">
        <f>116428.38+952.08</f>
        <v>117380.46</v>
      </c>
      <c r="J151" s="79">
        <v>3857.41</v>
      </c>
      <c r="K151" s="79">
        <v>15921.15</v>
      </c>
      <c r="L151" s="73">
        <f>SUM(M151:O151)</f>
        <v>274318.04000000004</v>
      </c>
      <c r="M151" s="73">
        <f>E151*I151</f>
        <v>234760.92</v>
      </c>
      <c r="N151" s="73">
        <f>E151*J151</f>
        <v>7714.82</v>
      </c>
      <c r="O151" s="75">
        <f>E151*K151</f>
        <v>31842.3</v>
      </c>
      <c r="P151" s="75">
        <f t="shared" si="79"/>
        <v>274318.04000000004</v>
      </c>
      <c r="Q151" s="75">
        <f t="shared" si="80"/>
        <v>274318.04000000004</v>
      </c>
    </row>
    <row r="152" spans="1:17" ht="105">
      <c r="A152" s="106"/>
      <c r="B152" s="64"/>
      <c r="C152" s="9" t="s">
        <v>117</v>
      </c>
      <c r="D152" s="16" t="s">
        <v>101</v>
      </c>
      <c r="E152" s="90">
        <v>4</v>
      </c>
      <c r="F152" s="90">
        <v>4</v>
      </c>
      <c r="G152" s="90">
        <v>4</v>
      </c>
      <c r="H152" s="79">
        <f>I152</f>
        <v>20712.060000000001</v>
      </c>
      <c r="I152" s="79">
        <v>20712.060000000001</v>
      </c>
      <c r="J152" s="79" t="s">
        <v>104</v>
      </c>
      <c r="K152" s="79" t="s">
        <v>104</v>
      </c>
      <c r="L152" s="73">
        <f>SUM(M152:O152)</f>
        <v>82848.240000000005</v>
      </c>
      <c r="M152" s="73">
        <f>E152*I152</f>
        <v>82848.240000000005</v>
      </c>
      <c r="N152" s="73"/>
      <c r="O152" s="73"/>
      <c r="P152" s="75">
        <f t="shared" si="79"/>
        <v>82848.240000000005</v>
      </c>
      <c r="Q152" s="75">
        <f t="shared" si="80"/>
        <v>82848.240000000005</v>
      </c>
    </row>
    <row r="153" spans="1:17" ht="15">
      <c r="A153" s="106"/>
      <c r="B153" s="64"/>
      <c r="C153" s="21" t="s">
        <v>106</v>
      </c>
      <c r="D153" s="22"/>
      <c r="E153" s="90">
        <f>E149+E151</f>
        <v>311</v>
      </c>
      <c r="F153" s="90">
        <f t="shared" ref="F153:G153" si="81">F149+F151</f>
        <v>322</v>
      </c>
      <c r="G153" s="90">
        <f t="shared" si="81"/>
        <v>322</v>
      </c>
      <c r="H153" s="73" t="s">
        <v>104</v>
      </c>
      <c r="I153" s="73" t="s">
        <v>104</v>
      </c>
      <c r="J153" s="73" t="s">
        <v>104</v>
      </c>
      <c r="K153" s="73" t="s">
        <v>104</v>
      </c>
      <c r="L153" s="73">
        <f>SUM(L149:L152)</f>
        <v>13730745.500000002</v>
      </c>
      <c r="M153" s="73">
        <f t="shared" ref="M153:Q153" si="82">SUM(M149:M152)</f>
        <v>7579613.3400000008</v>
      </c>
      <c r="N153" s="73">
        <f t="shared" si="82"/>
        <v>1199654.51</v>
      </c>
      <c r="O153" s="73">
        <f t="shared" si="82"/>
        <v>4951477.6499999994</v>
      </c>
      <c r="P153" s="73">
        <f t="shared" si="82"/>
        <v>14204400.770000001</v>
      </c>
      <c r="Q153" s="73">
        <f t="shared" si="82"/>
        <v>14204400.770000001</v>
      </c>
    </row>
    <row r="154" spans="1:17" ht="90">
      <c r="A154" s="106"/>
      <c r="B154" s="104" t="s">
        <v>107</v>
      </c>
      <c r="C154" s="9" t="s">
        <v>100</v>
      </c>
      <c r="D154" s="10" t="s">
        <v>101</v>
      </c>
      <c r="E154" s="90">
        <v>57</v>
      </c>
      <c r="F154" s="90">
        <v>50</v>
      </c>
      <c r="G154" s="90">
        <v>53</v>
      </c>
      <c r="H154" s="72">
        <f>SUM(I154:K154)</f>
        <v>54095.340000000004</v>
      </c>
      <c r="I154" s="72">
        <f>33147.58+1169.2</f>
        <v>34316.78</v>
      </c>
      <c r="J154" s="72">
        <v>3857.41</v>
      </c>
      <c r="K154" s="79">
        <v>15921.15</v>
      </c>
      <c r="L154" s="73">
        <f>SUM(M154:O154)</f>
        <v>3083434.38</v>
      </c>
      <c r="M154" s="73">
        <f>E154*I154</f>
        <v>1956056.46</v>
      </c>
      <c r="N154" s="73">
        <f>E154*J154</f>
        <v>219872.37</v>
      </c>
      <c r="O154" s="73">
        <f>E154*K154</f>
        <v>907505.54999999993</v>
      </c>
      <c r="P154" s="75">
        <f t="shared" si="79"/>
        <v>2704767</v>
      </c>
      <c r="Q154" s="75">
        <f t="shared" si="80"/>
        <v>2867053.02</v>
      </c>
    </row>
    <row r="155" spans="1:17" ht="120">
      <c r="A155" s="106"/>
      <c r="B155" s="104"/>
      <c r="C155" s="9" t="s">
        <v>118</v>
      </c>
      <c r="D155" s="10" t="s">
        <v>101</v>
      </c>
      <c r="E155" s="90">
        <v>326</v>
      </c>
      <c r="F155" s="90">
        <v>315</v>
      </c>
      <c r="G155" s="90">
        <v>327</v>
      </c>
      <c r="H155" s="72">
        <f>SUM(I155:K155)</f>
        <v>57407.18</v>
      </c>
      <c r="I155" s="72">
        <f>36459.42+1169.2</f>
        <v>37628.619999999995</v>
      </c>
      <c r="J155" s="72">
        <v>3857.41</v>
      </c>
      <c r="K155" s="79">
        <v>15921.15</v>
      </c>
      <c r="L155" s="73">
        <f>SUM(M155:O155)</f>
        <v>18714740.68</v>
      </c>
      <c r="M155" s="73">
        <f>E155*I155</f>
        <v>12266930.119999999</v>
      </c>
      <c r="N155" s="73">
        <f>E155*J155</f>
        <v>1257515.6599999999</v>
      </c>
      <c r="O155" s="73">
        <f>E155*K155</f>
        <v>5190294.8999999994</v>
      </c>
      <c r="P155" s="75">
        <f t="shared" si="79"/>
        <v>18083261.699999999</v>
      </c>
      <c r="Q155" s="75">
        <f t="shared" si="80"/>
        <v>18772147.859999999</v>
      </c>
    </row>
    <row r="156" spans="1:17" ht="120">
      <c r="A156" s="106"/>
      <c r="B156" s="104"/>
      <c r="C156" s="15" t="s">
        <v>102</v>
      </c>
      <c r="D156" s="16" t="s">
        <v>101</v>
      </c>
      <c r="E156" s="92">
        <v>1</v>
      </c>
      <c r="F156" s="92">
        <v>1</v>
      </c>
      <c r="G156" s="92">
        <v>1</v>
      </c>
      <c r="H156" s="79">
        <v>22724.03</v>
      </c>
      <c r="I156" s="79">
        <v>22724.03</v>
      </c>
      <c r="J156" s="79" t="s">
        <v>103</v>
      </c>
      <c r="K156" s="79" t="s">
        <v>103</v>
      </c>
      <c r="L156" s="73">
        <f>SUM(M156:O156)</f>
        <v>22724.03</v>
      </c>
      <c r="M156" s="73">
        <f>E156*I156</f>
        <v>22724.03</v>
      </c>
      <c r="N156" s="73" t="s">
        <v>104</v>
      </c>
      <c r="O156" s="78" t="s">
        <v>104</v>
      </c>
      <c r="P156" s="75">
        <f t="shared" si="79"/>
        <v>22724.03</v>
      </c>
      <c r="Q156" s="75">
        <f t="shared" si="80"/>
        <v>22724.03</v>
      </c>
    </row>
    <row r="157" spans="1:17" ht="120">
      <c r="A157" s="106"/>
      <c r="B157" s="104"/>
      <c r="C157" s="9" t="s">
        <v>105</v>
      </c>
      <c r="D157" s="16" t="s">
        <v>101</v>
      </c>
      <c r="E157" s="92"/>
      <c r="F157" s="92"/>
      <c r="G157" s="92"/>
      <c r="H157" s="79">
        <f>SUM(I157:K157)</f>
        <v>166124.72</v>
      </c>
      <c r="I157" s="79">
        <f>145176.96+1169.2</f>
        <v>146346.16</v>
      </c>
      <c r="J157" s="79">
        <v>3857.41</v>
      </c>
      <c r="K157" s="79">
        <v>15921.15</v>
      </c>
      <c r="L157" s="81">
        <f>SUM(M157:O157)</f>
        <v>0</v>
      </c>
      <c r="M157" s="81">
        <f>E157*I157</f>
        <v>0</v>
      </c>
      <c r="N157" s="81">
        <f>E157*J157</f>
        <v>0</v>
      </c>
      <c r="O157" s="81">
        <f>E157*K157</f>
        <v>0</v>
      </c>
      <c r="P157" s="75">
        <f t="shared" si="79"/>
        <v>0</v>
      </c>
      <c r="Q157" s="75">
        <f t="shared" si="80"/>
        <v>0</v>
      </c>
    </row>
    <row r="158" spans="1:17" ht="105">
      <c r="A158" s="106"/>
      <c r="B158" s="64"/>
      <c r="C158" s="9" t="s">
        <v>117</v>
      </c>
      <c r="D158" s="16" t="s">
        <v>101</v>
      </c>
      <c r="E158" s="92">
        <v>3</v>
      </c>
      <c r="F158" s="92">
        <v>3</v>
      </c>
      <c r="G158" s="92">
        <v>3</v>
      </c>
      <c r="H158" s="79">
        <v>32794.07</v>
      </c>
      <c r="I158" s="79">
        <f>H158</f>
        <v>32794.07</v>
      </c>
      <c r="J158" s="79" t="s">
        <v>104</v>
      </c>
      <c r="K158" s="79" t="s">
        <v>104</v>
      </c>
      <c r="L158" s="81">
        <f>SUM(M158:O158)</f>
        <v>98382.209999999992</v>
      </c>
      <c r="M158" s="81">
        <f>E158*I158</f>
        <v>98382.209999999992</v>
      </c>
      <c r="N158" s="81"/>
      <c r="O158" s="81"/>
      <c r="P158" s="75">
        <f t="shared" si="79"/>
        <v>98382.209999999992</v>
      </c>
      <c r="Q158" s="75">
        <f t="shared" si="80"/>
        <v>98382.209999999992</v>
      </c>
    </row>
    <row r="159" spans="1:17" ht="15">
      <c r="A159" s="106"/>
      <c r="B159" s="64"/>
      <c r="C159" s="21" t="s">
        <v>106</v>
      </c>
      <c r="D159" s="16"/>
      <c r="E159" s="92">
        <f>E154++E155+E157</f>
        <v>383</v>
      </c>
      <c r="F159" s="92">
        <f t="shared" ref="F159:G159" si="83">F154++F155+F157</f>
        <v>365</v>
      </c>
      <c r="G159" s="92">
        <f t="shared" si="83"/>
        <v>380</v>
      </c>
      <c r="H159" s="80" t="s">
        <v>104</v>
      </c>
      <c r="I159" s="80" t="s">
        <v>104</v>
      </c>
      <c r="J159" s="80" t="s">
        <v>104</v>
      </c>
      <c r="K159" s="80" t="s">
        <v>104</v>
      </c>
      <c r="L159" s="80">
        <f>SUM(L154:L158)</f>
        <v>21919281.300000001</v>
      </c>
      <c r="M159" s="80">
        <f t="shared" ref="M159:Q159" si="84">SUM(M154:M158)</f>
        <v>14344092.819999998</v>
      </c>
      <c r="N159" s="80">
        <f t="shared" si="84"/>
        <v>1477388.0299999998</v>
      </c>
      <c r="O159" s="80">
        <f t="shared" si="84"/>
        <v>6097800.4499999993</v>
      </c>
      <c r="P159" s="80">
        <f t="shared" si="84"/>
        <v>20909134.940000001</v>
      </c>
      <c r="Q159" s="80">
        <f t="shared" si="84"/>
        <v>21760307.120000001</v>
      </c>
    </row>
    <row r="160" spans="1:17" ht="90">
      <c r="A160" s="106"/>
      <c r="B160" s="104" t="s">
        <v>108</v>
      </c>
      <c r="C160" s="9" t="s">
        <v>100</v>
      </c>
      <c r="D160" s="10" t="s">
        <v>101</v>
      </c>
      <c r="E160" s="92">
        <v>106</v>
      </c>
      <c r="F160" s="92">
        <v>110</v>
      </c>
      <c r="G160" s="92">
        <v>112</v>
      </c>
      <c r="H160" s="72">
        <f>SUM(I160:K160)</f>
        <v>60807.1</v>
      </c>
      <c r="I160" s="72">
        <f>39660.87+1367.67</f>
        <v>41028.54</v>
      </c>
      <c r="J160" s="72">
        <v>3857.41</v>
      </c>
      <c r="K160" s="79">
        <v>15921.15</v>
      </c>
      <c r="L160" s="81">
        <f>SUM(M160:O160)</f>
        <v>6445552.5999999996</v>
      </c>
      <c r="M160" s="81">
        <f>E160*I160</f>
        <v>4349025.24</v>
      </c>
      <c r="N160" s="81">
        <f>E160*J160</f>
        <v>408885.45999999996</v>
      </c>
      <c r="O160" s="81">
        <f>E160*K160</f>
        <v>1687641.9</v>
      </c>
      <c r="P160" s="75">
        <f t="shared" si="79"/>
        <v>6688781</v>
      </c>
      <c r="Q160" s="75">
        <f t="shared" si="80"/>
        <v>6810395.2000000002</v>
      </c>
    </row>
    <row r="161" spans="1:17" ht="120">
      <c r="A161" s="106"/>
      <c r="B161" s="104"/>
      <c r="C161" s="15" t="s">
        <v>102</v>
      </c>
      <c r="D161" s="16" t="s">
        <v>101</v>
      </c>
      <c r="E161" s="92">
        <v>1</v>
      </c>
      <c r="F161" s="92">
        <v>1</v>
      </c>
      <c r="G161" s="92">
        <v>1</v>
      </c>
      <c r="H161" s="79">
        <v>22724.03</v>
      </c>
      <c r="I161" s="79">
        <v>22724.03</v>
      </c>
      <c r="J161" s="79" t="s">
        <v>103</v>
      </c>
      <c r="K161" s="79" t="s">
        <v>103</v>
      </c>
      <c r="L161" s="73">
        <f>SUM(M161:O161)</f>
        <v>22724.03</v>
      </c>
      <c r="M161" s="73">
        <f>E161*I161</f>
        <v>22724.03</v>
      </c>
      <c r="N161" s="73" t="s">
        <v>104</v>
      </c>
      <c r="O161" s="78" t="s">
        <v>104</v>
      </c>
      <c r="P161" s="75">
        <f t="shared" si="79"/>
        <v>22724.03</v>
      </c>
      <c r="Q161" s="75">
        <f t="shared" si="80"/>
        <v>22724.03</v>
      </c>
    </row>
    <row r="162" spans="1:17" ht="120">
      <c r="A162" s="106"/>
      <c r="B162" s="104"/>
      <c r="C162" s="9" t="s">
        <v>105</v>
      </c>
      <c r="D162" s="16" t="s">
        <v>101</v>
      </c>
      <c r="E162" s="92"/>
      <c r="F162" s="92"/>
      <c r="G162" s="92"/>
      <c r="H162" s="79">
        <f>SUM(I162:K162)</f>
        <v>195071.76</v>
      </c>
      <c r="I162" s="79">
        <f>173925.53+1367.67</f>
        <v>175293.2</v>
      </c>
      <c r="J162" s="79">
        <v>3857.41</v>
      </c>
      <c r="K162" s="79">
        <v>15921.15</v>
      </c>
      <c r="L162" s="81"/>
      <c r="M162" s="81"/>
      <c r="N162" s="81"/>
      <c r="O162" s="81"/>
      <c r="P162" s="75">
        <f t="shared" si="79"/>
        <v>0</v>
      </c>
      <c r="Q162" s="75">
        <f t="shared" si="80"/>
        <v>0</v>
      </c>
    </row>
    <row r="163" spans="1:17" ht="15">
      <c r="A163" s="106"/>
      <c r="B163" s="64"/>
      <c r="C163" s="21" t="s">
        <v>106</v>
      </c>
      <c r="D163" s="16"/>
      <c r="E163" s="92">
        <f>E160+E162</f>
        <v>106</v>
      </c>
      <c r="F163" s="92">
        <f t="shared" ref="F163:G163" si="85">F160+F162</f>
        <v>110</v>
      </c>
      <c r="G163" s="92">
        <f t="shared" si="85"/>
        <v>112</v>
      </c>
      <c r="H163" s="80" t="s">
        <v>104</v>
      </c>
      <c r="I163" s="80" t="s">
        <v>104</v>
      </c>
      <c r="J163" s="80" t="s">
        <v>104</v>
      </c>
      <c r="K163" s="80" t="s">
        <v>104</v>
      </c>
      <c r="L163" s="80">
        <f>SUM(L160:L162)</f>
        <v>6468276.6299999999</v>
      </c>
      <c r="M163" s="80">
        <f t="shared" ref="M163:Q163" si="86">SUM(M160:M162)</f>
        <v>4371749.2700000005</v>
      </c>
      <c r="N163" s="80">
        <f t="shared" si="86"/>
        <v>408885.45999999996</v>
      </c>
      <c r="O163" s="80">
        <f t="shared" si="86"/>
        <v>1687641.9</v>
      </c>
      <c r="P163" s="80">
        <f t="shared" si="86"/>
        <v>6711505.0300000003</v>
      </c>
      <c r="Q163" s="80">
        <f t="shared" si="86"/>
        <v>6833119.2300000004</v>
      </c>
    </row>
    <row r="164" spans="1:17" ht="165">
      <c r="A164" s="106"/>
      <c r="B164" s="105" t="s">
        <v>109</v>
      </c>
      <c r="C164" s="9" t="s">
        <v>110</v>
      </c>
      <c r="D164" s="16" t="s">
        <v>101</v>
      </c>
      <c r="E164" s="92">
        <v>509</v>
      </c>
      <c r="F164" s="92">
        <v>519</v>
      </c>
      <c r="G164" s="92">
        <v>519</v>
      </c>
      <c r="H164" s="79">
        <f>I164</f>
        <v>2770.76</v>
      </c>
      <c r="I164" s="79">
        <v>2770.76</v>
      </c>
      <c r="J164" s="79" t="s">
        <v>104</v>
      </c>
      <c r="K164" s="79" t="s">
        <v>104</v>
      </c>
      <c r="L164" s="81">
        <f>SUM(M164:O164)</f>
        <v>1410316.84</v>
      </c>
      <c r="M164" s="81">
        <f>I164*E164</f>
        <v>1410316.84</v>
      </c>
      <c r="N164" s="81" t="s">
        <v>104</v>
      </c>
      <c r="O164" s="81" t="s">
        <v>104</v>
      </c>
      <c r="P164" s="75">
        <f t="shared" si="79"/>
        <v>1438024.4400000002</v>
      </c>
      <c r="Q164" s="75">
        <f t="shared" si="80"/>
        <v>1438024.4400000002</v>
      </c>
    </row>
    <row r="165" spans="1:17" ht="180">
      <c r="A165" s="106"/>
      <c r="B165" s="105"/>
      <c r="C165" s="9" t="s">
        <v>111</v>
      </c>
      <c r="D165" s="16" t="s">
        <v>101</v>
      </c>
      <c r="E165" s="93">
        <v>622</v>
      </c>
      <c r="F165" s="93">
        <v>632</v>
      </c>
      <c r="G165" s="93">
        <v>632</v>
      </c>
      <c r="H165" s="79">
        <v>3829.24</v>
      </c>
      <c r="I165" s="79">
        <f>H165</f>
        <v>3829.24</v>
      </c>
      <c r="J165" s="79" t="s">
        <v>104</v>
      </c>
      <c r="K165" s="79" t="s">
        <v>104</v>
      </c>
      <c r="L165" s="81">
        <f>SUM(M165:O165)</f>
        <v>2381787.2799999998</v>
      </c>
      <c r="M165" s="81">
        <f>I165*E165</f>
        <v>2381787.2799999998</v>
      </c>
      <c r="N165" s="82" t="s">
        <v>104</v>
      </c>
      <c r="O165" s="74" t="s">
        <v>104</v>
      </c>
      <c r="P165" s="75">
        <f t="shared" si="79"/>
        <v>2420079.6799999997</v>
      </c>
      <c r="Q165" s="75">
        <f t="shared" si="80"/>
        <v>2420079.6799999997</v>
      </c>
    </row>
    <row r="166" spans="1:17" ht="15">
      <c r="A166" s="106"/>
      <c r="B166" s="29"/>
      <c r="C166" s="21" t="s">
        <v>106</v>
      </c>
      <c r="D166" s="29"/>
      <c r="E166" s="93">
        <f>SUM(E164:E165)</f>
        <v>1131</v>
      </c>
      <c r="F166" s="93">
        <f t="shared" ref="F166:G166" si="87">SUM(F164:F165)</f>
        <v>1151</v>
      </c>
      <c r="G166" s="92">
        <f t="shared" si="87"/>
        <v>1151</v>
      </c>
      <c r="H166" s="80" t="s">
        <v>104</v>
      </c>
      <c r="I166" s="80" t="s">
        <v>104</v>
      </c>
      <c r="J166" s="80" t="s">
        <v>104</v>
      </c>
      <c r="K166" s="80">
        <f t="shared" ref="K166:O166" si="88">SUM(K164:K165)</f>
        <v>0</v>
      </c>
      <c r="L166" s="80">
        <f t="shared" si="88"/>
        <v>3792104.12</v>
      </c>
      <c r="M166" s="80">
        <f t="shared" si="88"/>
        <v>3792104.12</v>
      </c>
      <c r="N166" s="80">
        <f t="shared" si="88"/>
        <v>0</v>
      </c>
      <c r="O166" s="80">
        <f t="shared" si="88"/>
        <v>0</v>
      </c>
      <c r="P166" s="75">
        <f>SUM(P164:P165)</f>
        <v>3858104.12</v>
      </c>
      <c r="Q166" s="75">
        <f>SUM(Q164:Q165)</f>
        <v>3858104.12</v>
      </c>
    </row>
    <row r="167" spans="1:17" ht="14.25">
      <c r="A167" s="106"/>
      <c r="B167" s="30" t="s">
        <v>112</v>
      </c>
      <c r="C167" s="30"/>
      <c r="D167" s="29"/>
      <c r="E167" s="93"/>
      <c r="F167" s="93"/>
      <c r="G167" s="93"/>
      <c r="H167" s="74"/>
      <c r="I167" s="74"/>
      <c r="J167" s="74"/>
      <c r="K167" s="74"/>
      <c r="L167" s="74">
        <f>L153+L159+L163+L166</f>
        <v>45910407.550000004</v>
      </c>
      <c r="M167" s="74">
        <f t="shared" ref="M167:Q167" si="89">M153+M159+M163+M166</f>
        <v>30087559.550000001</v>
      </c>
      <c r="N167" s="74">
        <f t="shared" si="89"/>
        <v>3085928</v>
      </c>
      <c r="O167" s="74">
        <f t="shared" si="89"/>
        <v>12736919.999999998</v>
      </c>
      <c r="P167" s="74">
        <f t="shared" si="89"/>
        <v>45683144.859999999</v>
      </c>
      <c r="Q167" s="74">
        <f t="shared" si="89"/>
        <v>46655931.240000002</v>
      </c>
    </row>
    <row r="168" spans="1:17" ht="225">
      <c r="A168" s="106" t="s">
        <v>119</v>
      </c>
      <c r="B168" s="104" t="s">
        <v>99</v>
      </c>
      <c r="C168" s="9" t="s">
        <v>120</v>
      </c>
      <c r="D168" s="10" t="s">
        <v>121</v>
      </c>
      <c r="E168" s="90" t="s">
        <v>122</v>
      </c>
      <c r="F168" s="90" t="s">
        <v>122</v>
      </c>
      <c r="G168" s="90" t="s">
        <v>123</v>
      </c>
      <c r="H168" s="72" t="s">
        <v>124</v>
      </c>
      <c r="I168" s="72" t="s">
        <v>125</v>
      </c>
      <c r="J168" s="72" t="s">
        <v>126</v>
      </c>
      <c r="K168" s="72" t="s">
        <v>127</v>
      </c>
      <c r="L168" s="73">
        <f t="shared" ref="L168:L173" si="90">SUM(M168:O168)</f>
        <v>2238893.54</v>
      </c>
      <c r="M168" s="73">
        <f>642642.05*2+952.08*46</f>
        <v>1329079.78</v>
      </c>
      <c r="N168" s="73">
        <f>3857.41*46</f>
        <v>177440.86</v>
      </c>
      <c r="O168" s="75">
        <f>15921.15*46</f>
        <v>732372.9</v>
      </c>
      <c r="P168" s="75">
        <f>642642.05*2+20730.64*46</f>
        <v>2238893.54</v>
      </c>
      <c r="Q168" s="75">
        <f>643642.05*2+20730.64*49</f>
        <v>2303085.46</v>
      </c>
    </row>
    <row r="169" spans="1:17" ht="240">
      <c r="A169" s="106"/>
      <c r="B169" s="104"/>
      <c r="C169" s="9" t="s">
        <v>128</v>
      </c>
      <c r="D169" s="10" t="s">
        <v>121</v>
      </c>
      <c r="E169" s="94" t="s">
        <v>129</v>
      </c>
      <c r="F169" s="94" t="s">
        <v>130</v>
      </c>
      <c r="G169" s="94" t="s">
        <v>130</v>
      </c>
      <c r="H169" s="72" t="s">
        <v>131</v>
      </c>
      <c r="I169" s="72" t="s">
        <v>132</v>
      </c>
      <c r="J169" s="72" t="s">
        <v>126</v>
      </c>
      <c r="K169" s="72" t="s">
        <v>127</v>
      </c>
      <c r="L169" s="73">
        <f t="shared" si="90"/>
        <v>3681151.7999999993</v>
      </c>
      <c r="M169" s="73">
        <f>604145.69*4+952.08*61</f>
        <v>2474659.6399999997</v>
      </c>
      <c r="N169" s="73">
        <f>3857.41*61</f>
        <v>235302.00999999998</v>
      </c>
      <c r="O169" s="75">
        <f>15921.15*61</f>
        <v>971190.15</v>
      </c>
      <c r="P169" s="75">
        <f>604145.69*4+20730.64*63</f>
        <v>3722613.08</v>
      </c>
      <c r="Q169" s="75">
        <f>P169</f>
        <v>3722613.08</v>
      </c>
    </row>
    <row r="170" spans="1:17" ht="120">
      <c r="A170" s="106"/>
      <c r="B170" s="104"/>
      <c r="C170" s="15" t="s">
        <v>102</v>
      </c>
      <c r="D170" s="16" t="s">
        <v>101</v>
      </c>
      <c r="E170" s="91"/>
      <c r="F170" s="91"/>
      <c r="G170" s="91"/>
      <c r="H170" s="79">
        <v>22724.03</v>
      </c>
      <c r="I170" s="79">
        <v>22724.03</v>
      </c>
      <c r="J170" s="79" t="s">
        <v>103</v>
      </c>
      <c r="K170" s="79" t="s">
        <v>103</v>
      </c>
      <c r="L170" s="73">
        <f t="shared" si="90"/>
        <v>0</v>
      </c>
      <c r="M170" s="73">
        <f>E170*I170</f>
        <v>0</v>
      </c>
      <c r="N170" s="73" t="s">
        <v>104</v>
      </c>
      <c r="O170" s="78" t="s">
        <v>104</v>
      </c>
      <c r="P170" s="75">
        <f t="shared" ref="P170:P180" si="91">F170*H170</f>
        <v>0</v>
      </c>
      <c r="Q170" s="75">
        <f t="shared" ref="Q170:Q180" si="92">G170*H170</f>
        <v>0</v>
      </c>
    </row>
    <row r="171" spans="1:17" ht="15">
      <c r="A171" s="106"/>
      <c r="B171" s="104"/>
      <c r="C171" s="21" t="s">
        <v>106</v>
      </c>
      <c r="D171" s="22"/>
      <c r="E171" s="90" t="s">
        <v>133</v>
      </c>
      <c r="F171" s="90" t="s">
        <v>134</v>
      </c>
      <c r="G171" s="90" t="s">
        <v>135</v>
      </c>
      <c r="H171" s="73" t="s">
        <v>104</v>
      </c>
      <c r="I171" s="73" t="s">
        <v>104</v>
      </c>
      <c r="J171" s="73" t="s">
        <v>104</v>
      </c>
      <c r="K171" s="73" t="s">
        <v>104</v>
      </c>
      <c r="L171" s="73">
        <f t="shared" si="90"/>
        <v>5920045.3399999999</v>
      </c>
      <c r="M171" s="73">
        <f>SUM(M168:M170)</f>
        <v>3803739.42</v>
      </c>
      <c r="N171" s="73">
        <f t="shared" ref="N171:O171" si="93">SUM(N168:N170)</f>
        <v>412742.87</v>
      </c>
      <c r="O171" s="73">
        <f t="shared" si="93"/>
        <v>1703563.05</v>
      </c>
      <c r="P171" s="75">
        <f>SUM(P168:P170)</f>
        <v>5961506.6200000001</v>
      </c>
      <c r="Q171" s="75">
        <f>SUM(Q168:Q170)</f>
        <v>6025698.54</v>
      </c>
    </row>
    <row r="172" spans="1:17" ht="225">
      <c r="A172" s="106"/>
      <c r="B172" s="104" t="s">
        <v>107</v>
      </c>
      <c r="C172" s="9" t="s">
        <v>120</v>
      </c>
      <c r="D172" s="10" t="s">
        <v>121</v>
      </c>
      <c r="E172" s="90" t="s">
        <v>136</v>
      </c>
      <c r="F172" s="90" t="s">
        <v>122</v>
      </c>
      <c r="G172" s="90" t="s">
        <v>137</v>
      </c>
      <c r="H172" s="72" t="s">
        <v>138</v>
      </c>
      <c r="I172" s="72" t="s">
        <v>139</v>
      </c>
      <c r="J172" s="72" t="s">
        <v>126</v>
      </c>
      <c r="K172" s="72" t="s">
        <v>127</v>
      </c>
      <c r="L172" s="73">
        <f t="shared" si="90"/>
        <v>4247891.0999999996</v>
      </c>
      <c r="M172" s="73">
        <f>3*955112.98+66*1169.2</f>
        <v>2942506.14</v>
      </c>
      <c r="N172" s="73">
        <f>3857.41*66</f>
        <v>254589.06</v>
      </c>
      <c r="O172" s="73">
        <f>15921.15*66</f>
        <v>1050795.8999999999</v>
      </c>
      <c r="P172" s="75">
        <f>2*955112.98+46*20947.76</f>
        <v>2873822.92</v>
      </c>
      <c r="Q172" s="75">
        <f>5*955112.98+112*20947.76</f>
        <v>7121714.0199999996</v>
      </c>
    </row>
    <row r="173" spans="1:17" ht="240">
      <c r="A173" s="106"/>
      <c r="B173" s="104"/>
      <c r="C173" s="9" t="s">
        <v>128</v>
      </c>
      <c r="D173" s="10" t="s">
        <v>121</v>
      </c>
      <c r="E173" s="92" t="s">
        <v>140</v>
      </c>
      <c r="F173" s="92" t="s">
        <v>141</v>
      </c>
      <c r="G173" s="92" t="s">
        <v>129</v>
      </c>
      <c r="H173" s="72" t="s">
        <v>142</v>
      </c>
      <c r="I173" s="72" t="s">
        <v>143</v>
      </c>
      <c r="J173" s="72" t="s">
        <v>126</v>
      </c>
      <c r="K173" s="72" t="s">
        <v>127</v>
      </c>
      <c r="L173" s="73">
        <f t="shared" si="90"/>
        <v>3254329.2699999996</v>
      </c>
      <c r="M173" s="73">
        <f>3*756594.85+1169.2*47</f>
        <v>2324736.9499999997</v>
      </c>
      <c r="N173" s="73">
        <f>3857.41*47</f>
        <v>181298.27</v>
      </c>
      <c r="O173" s="78">
        <f>15921.15*47</f>
        <v>748294.04999999993</v>
      </c>
      <c r="P173" s="75">
        <f>6*756594.85+20947.76*99</f>
        <v>6613397.3399999999</v>
      </c>
      <c r="Q173" s="75">
        <f>756594.85*4+20947.76*61</f>
        <v>4304192.76</v>
      </c>
    </row>
    <row r="174" spans="1:17" ht="120">
      <c r="A174" s="106"/>
      <c r="B174" s="104"/>
      <c r="C174" s="15" t="s">
        <v>102</v>
      </c>
      <c r="D174" s="16" t="s">
        <v>101</v>
      </c>
      <c r="E174" s="92">
        <v>4</v>
      </c>
      <c r="F174" s="92">
        <v>3</v>
      </c>
      <c r="G174" s="92">
        <v>3</v>
      </c>
      <c r="H174" s="79">
        <f>I174</f>
        <v>27251.919999999998</v>
      </c>
      <c r="I174" s="79">
        <v>27251.919999999998</v>
      </c>
      <c r="J174" s="79" t="s">
        <v>103</v>
      </c>
      <c r="K174" s="79" t="s">
        <v>103</v>
      </c>
      <c r="L174" s="73">
        <f>SUM(M174)</f>
        <v>109007.67999999999</v>
      </c>
      <c r="M174" s="81">
        <f>E174*I174</f>
        <v>109007.67999999999</v>
      </c>
      <c r="N174" s="81"/>
      <c r="O174" s="81"/>
      <c r="P174" s="75">
        <f t="shared" si="91"/>
        <v>81755.759999999995</v>
      </c>
      <c r="Q174" s="75">
        <f t="shared" si="92"/>
        <v>81755.759999999995</v>
      </c>
    </row>
    <row r="175" spans="1:17" ht="120">
      <c r="A175" s="106"/>
      <c r="B175" s="64"/>
      <c r="C175" s="9" t="s">
        <v>144</v>
      </c>
      <c r="D175" s="16" t="s">
        <v>101</v>
      </c>
      <c r="E175" s="95">
        <v>1</v>
      </c>
      <c r="F175" s="95">
        <v>1</v>
      </c>
      <c r="G175" s="95">
        <v>1</v>
      </c>
      <c r="H175" s="79">
        <f>SUM(I175:K175)</f>
        <v>217702</v>
      </c>
      <c r="I175" s="79">
        <v>217702</v>
      </c>
      <c r="J175" s="79"/>
      <c r="K175" s="79"/>
      <c r="L175" s="81">
        <f>SUM(M175:O175)</f>
        <v>217702</v>
      </c>
      <c r="M175" s="81">
        <f>E175*I175</f>
        <v>217702</v>
      </c>
      <c r="N175" s="81">
        <f>E175*J175</f>
        <v>0</v>
      </c>
      <c r="O175" s="81">
        <f>K175*E175</f>
        <v>0</v>
      </c>
      <c r="P175" s="75">
        <f t="shared" si="91"/>
        <v>217702</v>
      </c>
      <c r="Q175" s="75">
        <f t="shared" si="92"/>
        <v>217702</v>
      </c>
    </row>
    <row r="176" spans="1:17" ht="15">
      <c r="A176" s="106"/>
      <c r="B176" s="64"/>
      <c r="C176" s="21" t="s">
        <v>106</v>
      </c>
      <c r="D176" s="16"/>
      <c r="E176" s="92" t="s">
        <v>145</v>
      </c>
      <c r="F176" s="92" t="s">
        <v>146</v>
      </c>
      <c r="G176" s="92" t="s">
        <v>147</v>
      </c>
      <c r="H176" s="80" t="s">
        <v>104</v>
      </c>
      <c r="I176" s="80" t="s">
        <v>104</v>
      </c>
      <c r="J176" s="80" t="s">
        <v>104</v>
      </c>
      <c r="K176" s="80" t="s">
        <v>104</v>
      </c>
      <c r="L176" s="80">
        <f>SUM(M176:O176)</f>
        <v>7828930.0499999989</v>
      </c>
      <c r="M176" s="80">
        <f t="shared" ref="M176:O176" si="94">SUM(M172:M175)</f>
        <v>5593952.7699999996</v>
      </c>
      <c r="N176" s="80">
        <f t="shared" si="94"/>
        <v>435887.32999999996</v>
      </c>
      <c r="O176" s="80">
        <f t="shared" si="94"/>
        <v>1799089.9499999997</v>
      </c>
      <c r="P176" s="80">
        <f>SUM(P172:P175)</f>
        <v>9786678.0199999996</v>
      </c>
      <c r="Q176" s="80">
        <f>SUM(Q172:Q175)</f>
        <v>11725364.539999999</v>
      </c>
    </row>
    <row r="177" spans="1:17" ht="240">
      <c r="A177" s="106"/>
      <c r="B177" s="64" t="s">
        <v>108</v>
      </c>
      <c r="C177" s="9" t="s">
        <v>128</v>
      </c>
      <c r="D177" s="10" t="s">
        <v>121</v>
      </c>
      <c r="E177" s="94" t="s">
        <v>148</v>
      </c>
      <c r="F177" s="94" t="s">
        <v>148</v>
      </c>
      <c r="G177" s="94" t="s">
        <v>149</v>
      </c>
      <c r="H177" s="72" t="s">
        <v>150</v>
      </c>
      <c r="I177" s="72" t="s">
        <v>151</v>
      </c>
      <c r="J177" s="72" t="s">
        <v>126</v>
      </c>
      <c r="K177" s="72" t="s">
        <v>127</v>
      </c>
      <c r="L177" s="81">
        <f>SUM(M177:O177)</f>
        <v>956431.65700000001</v>
      </c>
      <c r="M177" s="81">
        <f>808407.62+1367.67*7</f>
        <v>817981.30999999994</v>
      </c>
      <c r="N177" s="81">
        <f>7*3857.471</f>
        <v>27002.296999999999</v>
      </c>
      <c r="O177" s="81">
        <f>7*15921.15</f>
        <v>111448.05</v>
      </c>
      <c r="P177" s="83">
        <f>808407.62+7*21146.23</f>
        <v>956431.23</v>
      </c>
      <c r="Q177" s="75">
        <f>2*808407.62+17*21146.23</f>
        <v>1976301.15</v>
      </c>
    </row>
    <row r="178" spans="1:17" ht="15">
      <c r="A178" s="106"/>
      <c r="B178" s="64"/>
      <c r="C178" s="21" t="s">
        <v>106</v>
      </c>
      <c r="D178" s="16"/>
      <c r="E178" s="92" t="s">
        <v>148</v>
      </c>
      <c r="F178" s="92" t="s">
        <v>148</v>
      </c>
      <c r="G178" s="92" t="s">
        <v>149</v>
      </c>
      <c r="H178" s="80" t="s">
        <v>104</v>
      </c>
      <c r="I178" s="80" t="s">
        <v>104</v>
      </c>
      <c r="J178" s="80" t="s">
        <v>104</v>
      </c>
      <c r="K178" s="80" t="s">
        <v>104</v>
      </c>
      <c r="L178" s="80">
        <f>SUM(L177:L177)</f>
        <v>956431.65700000001</v>
      </c>
      <c r="M178" s="80">
        <f>SUM(M177:M177)</f>
        <v>817981.30999999994</v>
      </c>
      <c r="N178" s="80">
        <f>SUM(N177:N177)</f>
        <v>27002.296999999999</v>
      </c>
      <c r="O178" s="80">
        <f>SUM(O177:O177)</f>
        <v>111448.05</v>
      </c>
      <c r="P178" s="75">
        <f>SUM(P177)</f>
        <v>956431.23</v>
      </c>
      <c r="Q178" s="75">
        <f>SUM(Q177)</f>
        <v>1976301.15</v>
      </c>
    </row>
    <row r="179" spans="1:17" ht="165">
      <c r="A179" s="106"/>
      <c r="B179" s="105" t="s">
        <v>109</v>
      </c>
      <c r="C179" s="9" t="s">
        <v>110</v>
      </c>
      <c r="D179" s="16" t="s">
        <v>101</v>
      </c>
      <c r="E179" s="92">
        <v>153</v>
      </c>
      <c r="F179" s="92">
        <v>156</v>
      </c>
      <c r="G179" s="92">
        <v>162</v>
      </c>
      <c r="H179" s="79">
        <f>I179</f>
        <v>3461.18</v>
      </c>
      <c r="I179" s="79">
        <v>3461.18</v>
      </c>
      <c r="J179" s="79" t="s">
        <v>104</v>
      </c>
      <c r="K179" s="79" t="s">
        <v>104</v>
      </c>
      <c r="L179" s="81">
        <f>SUM(M179:O179)</f>
        <v>529560.53999999992</v>
      </c>
      <c r="M179" s="81">
        <f>I179*E179</f>
        <v>529560.53999999992</v>
      </c>
      <c r="N179" s="81" t="s">
        <v>104</v>
      </c>
      <c r="O179" s="81" t="s">
        <v>104</v>
      </c>
      <c r="P179" s="75">
        <f t="shared" si="91"/>
        <v>539944.07999999996</v>
      </c>
      <c r="Q179" s="75">
        <f t="shared" si="92"/>
        <v>560711.15999999992</v>
      </c>
    </row>
    <row r="180" spans="1:17" ht="180">
      <c r="A180" s="106"/>
      <c r="B180" s="105"/>
      <c r="C180" s="9" t="s">
        <v>111</v>
      </c>
      <c r="D180" s="16" t="s">
        <v>101</v>
      </c>
      <c r="E180" s="92">
        <v>147</v>
      </c>
      <c r="F180" s="92">
        <v>110</v>
      </c>
      <c r="G180" s="92">
        <v>115</v>
      </c>
      <c r="H180" s="79">
        <v>3829.24</v>
      </c>
      <c r="I180" s="79">
        <v>4783.41</v>
      </c>
      <c r="J180" s="79" t="s">
        <v>104</v>
      </c>
      <c r="K180" s="79" t="s">
        <v>104</v>
      </c>
      <c r="L180" s="81">
        <f>SUM(M180:O180)</f>
        <v>703161.27</v>
      </c>
      <c r="M180" s="81">
        <f>I180*E180</f>
        <v>703161.27</v>
      </c>
      <c r="N180" s="81" t="s">
        <v>104</v>
      </c>
      <c r="O180" s="80" t="s">
        <v>104</v>
      </c>
      <c r="P180" s="75">
        <f t="shared" si="91"/>
        <v>421216.39999999997</v>
      </c>
      <c r="Q180" s="75">
        <f t="shared" si="92"/>
        <v>440362.6</v>
      </c>
    </row>
    <row r="181" spans="1:17" ht="15">
      <c r="A181" s="106"/>
      <c r="B181" s="29"/>
      <c r="C181" s="21" t="s">
        <v>106</v>
      </c>
      <c r="D181" s="29"/>
      <c r="E181" s="92">
        <f>SUM(E179:E180)</f>
        <v>300</v>
      </c>
      <c r="F181" s="92">
        <f t="shared" ref="F181:G181" si="95">SUM(F179:F180)</f>
        <v>266</v>
      </c>
      <c r="G181" s="92">
        <f t="shared" si="95"/>
        <v>277</v>
      </c>
      <c r="H181" s="80" t="s">
        <v>104</v>
      </c>
      <c r="I181" s="80" t="s">
        <v>104</v>
      </c>
      <c r="J181" s="80" t="s">
        <v>104</v>
      </c>
      <c r="K181" s="80">
        <f t="shared" ref="K181:Q181" si="96">SUM(K179:K180)</f>
        <v>0</v>
      </c>
      <c r="L181" s="80">
        <f>SUM(L179:L180)</f>
        <v>1232721.81</v>
      </c>
      <c r="M181" s="80">
        <f>SUM(M179:M180)</f>
        <v>1232721.81</v>
      </c>
      <c r="N181" s="80">
        <f t="shared" si="96"/>
        <v>0</v>
      </c>
      <c r="O181" s="80">
        <f t="shared" si="96"/>
        <v>0</v>
      </c>
      <c r="P181" s="80">
        <f t="shared" si="96"/>
        <v>961160.48</v>
      </c>
      <c r="Q181" s="80">
        <f t="shared" si="96"/>
        <v>1001073.7599999999</v>
      </c>
    </row>
    <row r="182" spans="1:17" ht="14.25">
      <c r="A182" s="106"/>
      <c r="B182" s="30" t="s">
        <v>112</v>
      </c>
      <c r="C182" s="30"/>
      <c r="D182" s="29"/>
      <c r="E182" s="74"/>
      <c r="F182" s="74"/>
      <c r="G182" s="74"/>
      <c r="H182" s="74"/>
      <c r="I182" s="74"/>
      <c r="J182" s="74"/>
      <c r="K182" s="74"/>
      <c r="L182" s="74">
        <f>L171+L176+L178+L181</f>
        <v>15938128.856999999</v>
      </c>
      <c r="M182" s="74">
        <f t="shared" ref="M182:Q182" si="97">M171+M176+M178+M181</f>
        <v>11448395.310000001</v>
      </c>
      <c r="N182" s="74">
        <f t="shared" si="97"/>
        <v>875632.49699999997</v>
      </c>
      <c r="O182" s="74">
        <f t="shared" si="97"/>
        <v>3614101.05</v>
      </c>
      <c r="P182" s="74">
        <f t="shared" si="97"/>
        <v>17665776.350000001</v>
      </c>
      <c r="Q182" s="74">
        <f t="shared" si="97"/>
        <v>20728437.989999998</v>
      </c>
    </row>
    <row r="183" spans="1:17" ht="15">
      <c r="A183" s="55" t="s">
        <v>156</v>
      </c>
    </row>
    <row r="184" spans="1:17" ht="30">
      <c r="A184" s="60" t="s">
        <v>3</v>
      </c>
      <c r="B184" s="60" t="s">
        <v>81</v>
      </c>
      <c r="C184" s="60" t="s">
        <v>4</v>
      </c>
      <c r="D184" s="100" t="s">
        <v>5</v>
      </c>
      <c r="E184" s="100"/>
      <c r="F184" s="100"/>
      <c r="G184" s="101" t="s">
        <v>6</v>
      </c>
      <c r="H184" s="101" t="s">
        <v>7</v>
      </c>
      <c r="I184" s="101"/>
      <c r="J184" s="101"/>
    </row>
    <row r="185" spans="1:17" ht="15">
      <c r="A185" s="45"/>
      <c r="B185" s="45"/>
      <c r="C185" s="45"/>
      <c r="D185" s="50" t="s">
        <v>8</v>
      </c>
      <c r="E185" s="50" t="s">
        <v>9</v>
      </c>
      <c r="F185" s="50" t="s">
        <v>10</v>
      </c>
      <c r="G185" s="101"/>
      <c r="H185" s="50">
        <v>2016</v>
      </c>
      <c r="I185" s="50" t="s">
        <v>9</v>
      </c>
      <c r="J185" s="50" t="s">
        <v>10</v>
      </c>
    </row>
    <row r="186" spans="1:17" ht="75">
      <c r="A186" s="42" t="s">
        <v>13</v>
      </c>
      <c r="B186" s="42" t="s">
        <v>14</v>
      </c>
      <c r="C186" s="60" t="s">
        <v>15</v>
      </c>
      <c r="D186" s="42" t="s">
        <v>16</v>
      </c>
      <c r="E186" s="42" t="s">
        <v>16</v>
      </c>
      <c r="F186" s="42" t="s">
        <v>16</v>
      </c>
      <c r="G186" s="60" t="s">
        <v>17</v>
      </c>
      <c r="H186" s="60" t="s">
        <v>17</v>
      </c>
      <c r="I186" s="60" t="s">
        <v>17</v>
      </c>
      <c r="J186" s="60" t="s">
        <v>17</v>
      </c>
    </row>
    <row r="187" spans="1:17" ht="15">
      <c r="A187" s="58" t="s">
        <v>157</v>
      </c>
      <c r="B187" s="45"/>
      <c r="C187" s="45"/>
      <c r="D187" s="96">
        <f>SUM(D188:D189)</f>
        <v>1550</v>
      </c>
      <c r="E187" s="96">
        <f>SUM(E188:E189)</f>
        <v>1550</v>
      </c>
      <c r="F187" s="96">
        <f>SUM(F188:F189)</f>
        <v>1550</v>
      </c>
      <c r="G187" s="45"/>
      <c r="H187" s="84">
        <f>H188+H189</f>
        <v>22307310</v>
      </c>
      <c r="I187" s="84">
        <f>I188+I189</f>
        <v>22307310</v>
      </c>
      <c r="J187" s="84">
        <f>J188+J189</f>
        <v>22307310</v>
      </c>
    </row>
    <row r="188" spans="1:17" ht="105">
      <c r="A188" s="98"/>
      <c r="B188" s="60" t="s">
        <v>158</v>
      </c>
      <c r="C188" s="45" t="s">
        <v>20</v>
      </c>
      <c r="D188" s="97">
        <v>1300</v>
      </c>
      <c r="E188" s="97">
        <v>1300</v>
      </c>
      <c r="F188" s="97">
        <v>1300</v>
      </c>
      <c r="G188" s="46">
        <v>16584.45</v>
      </c>
      <c r="H188" s="46">
        <f>G188*D188</f>
        <v>21559785</v>
      </c>
      <c r="I188" s="46">
        <f>H188</f>
        <v>21559785</v>
      </c>
      <c r="J188" s="46">
        <f>I188</f>
        <v>21559785</v>
      </c>
    </row>
    <row r="189" spans="1:17" ht="45">
      <c r="A189" s="99"/>
      <c r="B189" s="59" t="s">
        <v>159</v>
      </c>
      <c r="C189" s="45" t="s">
        <v>20</v>
      </c>
      <c r="D189" s="97">
        <v>250</v>
      </c>
      <c r="E189" s="97">
        <v>250</v>
      </c>
      <c r="F189" s="97">
        <v>250</v>
      </c>
      <c r="G189" s="46">
        <v>2990.1</v>
      </c>
      <c r="H189" s="46">
        <f>G189*D189</f>
        <v>747525</v>
      </c>
      <c r="I189" s="46">
        <f t="shared" ref="I189:J190" si="98">H189</f>
        <v>747525</v>
      </c>
      <c r="J189" s="46">
        <f t="shared" si="98"/>
        <v>747525</v>
      </c>
    </row>
    <row r="190" spans="1:17" ht="105">
      <c r="A190" s="50" t="s">
        <v>160</v>
      </c>
      <c r="B190" s="60" t="s">
        <v>158</v>
      </c>
      <c r="C190" s="45" t="s">
        <v>20</v>
      </c>
      <c r="D190" s="97">
        <v>411</v>
      </c>
      <c r="E190" s="97">
        <v>411</v>
      </c>
      <c r="F190" s="97">
        <v>411</v>
      </c>
      <c r="G190" s="46">
        <v>12267.68</v>
      </c>
      <c r="H190" s="46">
        <f>G190*D190</f>
        <v>5042016.4800000004</v>
      </c>
      <c r="I190" s="46">
        <f t="shared" si="98"/>
        <v>5042016.4800000004</v>
      </c>
      <c r="J190" s="46">
        <f t="shared" si="98"/>
        <v>5042016.4800000004</v>
      </c>
    </row>
    <row r="193" spans="1:1">
      <c r="A193" s="54" t="s">
        <v>161</v>
      </c>
    </row>
  </sheetData>
  <sheetProtection password="CF7A" sheet="1" objects="1" scenarios="1"/>
  <mergeCells count="45">
    <mergeCell ref="L82:Q82"/>
    <mergeCell ref="A3:Q3"/>
    <mergeCell ref="E6:G6"/>
    <mergeCell ref="H6:K6"/>
    <mergeCell ref="L6:Q6"/>
    <mergeCell ref="L7:O7"/>
    <mergeCell ref="A81:C81"/>
    <mergeCell ref="A82:A83"/>
    <mergeCell ref="B82:B83"/>
    <mergeCell ref="D82:D83"/>
    <mergeCell ref="E82:G82"/>
    <mergeCell ref="H82:K82"/>
    <mergeCell ref="A101:A116"/>
    <mergeCell ref="B101:B104"/>
    <mergeCell ref="B105:B107"/>
    <mergeCell ref="B109:B111"/>
    <mergeCell ref="B113:B114"/>
    <mergeCell ref="A85:A100"/>
    <mergeCell ref="B85:B88"/>
    <mergeCell ref="B89:B91"/>
    <mergeCell ref="B93:B95"/>
    <mergeCell ref="B97:B98"/>
    <mergeCell ref="A133:A148"/>
    <mergeCell ref="B133:B136"/>
    <mergeCell ref="B137:B139"/>
    <mergeCell ref="B141:B143"/>
    <mergeCell ref="B145:B146"/>
    <mergeCell ref="A117:A132"/>
    <mergeCell ref="B117:B120"/>
    <mergeCell ref="B121:B123"/>
    <mergeCell ref="B125:B127"/>
    <mergeCell ref="B129:B130"/>
    <mergeCell ref="D184:F184"/>
    <mergeCell ref="G184:G185"/>
    <mergeCell ref="H184:J184"/>
    <mergeCell ref="A188:A189"/>
    <mergeCell ref="A149:A167"/>
    <mergeCell ref="B149:B151"/>
    <mergeCell ref="B154:B157"/>
    <mergeCell ref="B160:B162"/>
    <mergeCell ref="B164:B165"/>
    <mergeCell ref="A168:A182"/>
    <mergeCell ref="B168:B171"/>
    <mergeCell ref="B172:B174"/>
    <mergeCell ref="B179:B180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01.01.2016</vt:lpstr>
      <vt:lpstr>25.02.2016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Кочанова</cp:lastModifiedBy>
  <cp:lastPrinted>2016-03-10T06:42:08Z</cp:lastPrinted>
  <dcterms:modified xsi:type="dcterms:W3CDTF">2016-03-24T03:51:51Z</dcterms:modified>
</cp:coreProperties>
</file>